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UR08" sheetId="1" r:id="rId1"/>
    <sheet name="ESF" sheetId="2" r:id="rId2"/>
    <sheet name="RN-Sk" sheetId="3" r:id="rId3"/>
    <sheet name="ONIV" sheetId="4" r:id="rId4"/>
    <sheet name="vynosy" sheetId="5" r:id="rId5"/>
    <sheet name="HVcelkem" sheetId="6" r:id="rId6"/>
    <sheet name="HV-HC orig" sheetId="7" r:id="rId7"/>
    <sheet name="HV-JC orig" sheetId="8" r:id="rId8"/>
    <sheet name="penFondy" sheetId="9" r:id="rId9"/>
    <sheet name="krytíPF" sheetId="10" r:id="rId10"/>
    <sheet name="F09 po prid" sheetId="11" r:id="rId11"/>
  </sheets>
  <definedNames>
    <definedName name="_xlnm.Print_Titles" localSheetId="10">'F09 po prid'!$1:$4</definedName>
  </definedNames>
  <calcPr fullCalcOnLoad="1"/>
</workbook>
</file>

<file path=xl/sharedStrings.xml><?xml version="1.0" encoding="utf-8"?>
<sst xmlns="http://schemas.openxmlformats.org/spreadsheetml/2006/main" count="1041" uniqueCount="496">
  <si>
    <t>(bez FKSP - neprovádí se příděl z HV)</t>
  </si>
  <si>
    <t>v tis. Kč</t>
  </si>
  <si>
    <t>Návrh přídělu ze zlepš. HV</t>
  </si>
  <si>
    <t>Fond odměn</t>
  </si>
  <si>
    <t>IPPP Praha</t>
  </si>
  <si>
    <t>DZS Praha</t>
  </si>
  <si>
    <t>US Richtr.boudy</t>
  </si>
  <si>
    <t>ÚIV Praha</t>
  </si>
  <si>
    <t>NÚOV Praha</t>
  </si>
  <si>
    <t>VÚP Praha</t>
  </si>
  <si>
    <t>PMJAK Praha</t>
  </si>
  <si>
    <t>NIDM Praha</t>
  </si>
  <si>
    <t>STK Praha</t>
  </si>
  <si>
    <t>KJWF Praha</t>
  </si>
  <si>
    <t>NIDV Praha</t>
  </si>
  <si>
    <t>PC Č.Těšín</t>
  </si>
  <si>
    <t>VKC Telč</t>
  </si>
  <si>
    <t>ADV Praha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</si>
  <si>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</si>
  <si>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</si>
  <si>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</si>
  <si>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</si>
  <si>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</si>
  <si>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</si>
  <si>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</si>
  <si>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 xml:space="preserve">Krytí peněžních fondů OPŘO </t>
  </si>
  <si>
    <t>Číslo účtu</t>
  </si>
  <si>
    <t>Běžný účet</t>
  </si>
  <si>
    <t>Ostatní běžné účty</t>
  </si>
  <si>
    <t>Běšžný účet FKSP</t>
  </si>
  <si>
    <t>PC Č. Těšín</t>
  </si>
  <si>
    <t>FKSP</t>
  </si>
  <si>
    <t>FRIM</t>
  </si>
  <si>
    <t>Peněžní fondy za OPŘO celkem</t>
  </si>
  <si>
    <t>Peněžní fondy OPŘO - tvorba a čerpání</t>
  </si>
  <si>
    <t>Čerpání</t>
  </si>
  <si>
    <t>v  tis. Kč</t>
  </si>
  <si>
    <t>Účet</t>
  </si>
  <si>
    <t>Název ukazatele</t>
  </si>
  <si>
    <t>Řádek</t>
  </si>
  <si>
    <t>DZS</t>
  </si>
  <si>
    <t>US RB</t>
  </si>
  <si>
    <t>NIDM</t>
  </si>
  <si>
    <t>VKC</t>
  </si>
  <si>
    <t>501</t>
  </si>
  <si>
    <t>Spotřeba materiálu</t>
  </si>
  <si>
    <t>502</t>
  </si>
  <si>
    <t>Spotřeba energie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</si>
  <si>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</si>
  <si>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</si>
  <si>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</si>
  <si>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</si>
  <si>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</si>
  <si>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</si>
  <si>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</si>
  <si>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</si>
  <si>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</si>
  <si>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</si>
  <si>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</si>
  <si>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</si>
  <si>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</si>
  <si>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</si>
  <si>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</si>
  <si>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</si>
  <si>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</si>
  <si>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</si>
  <si>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</si>
  <si>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</si>
  <si>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</si>
  <si>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</si>
  <si>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</si>
  <si>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</si>
  <si>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</si>
  <si>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</si>
  <si>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</si>
  <si>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</si>
  <si>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</si>
  <si>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>Smluvní pokuty a úroky z prodlení</t>
  </si>
  <si>
    <t>542</t>
  </si>
  <si>
    <t>Ostatní pokuty a penále</t>
  </si>
  <si>
    <t>543</t>
  </si>
  <si>
    <t>Odpis pohledávky</t>
  </si>
  <si>
    <t>544</t>
  </si>
  <si>
    <t>Úroky</t>
  </si>
  <si>
    <t>545</t>
  </si>
  <si>
    <t>Kurzové ztráty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</si>
  <si>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</si>
  <si>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</si>
  <si>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</si>
  <si>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</si>
  <si>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</si>
  <si>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</si>
  <si>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</si>
  <si>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hmotného a nehmotného majetku</t>
  </si>
  <si>
    <t>552</t>
  </si>
  <si>
    <t>Zůstatková cena prodaného dlouhodobého hm. a nehm. majetku</t>
  </si>
  <si>
    <t>553</t>
  </si>
  <si>
    <t>Prodané cenné papíry a vklady</t>
  </si>
  <si>
    <t>554</t>
  </si>
  <si>
    <t>Prodaný materiál</t>
  </si>
  <si>
    <t>556</t>
  </si>
  <si>
    <t>Tvorba zákonných rezerv</t>
  </si>
  <si>
    <t>559</t>
  </si>
  <si>
    <t>Tvorba zákonných opravných položek</t>
  </si>
  <si>
    <t>Účtová třída 5 celkem                                            (řádek 1 až 30)</t>
  </si>
  <si>
    <t>601</t>
  </si>
  <si>
    <t>Tržby za vlastní výrobky</t>
  </si>
  <si>
    <t>602</t>
  </si>
  <si>
    <t>Tržby z prodeje služeb</t>
  </si>
  <si>
    <t>604</t>
  </si>
  <si>
    <t>Tržby za prodané zboží</t>
  </si>
  <si>
    <t>611</t>
  </si>
  <si>
    <t>Změna stavu zásob nedokončené výroby</t>
  </si>
  <si>
    <t>612</t>
  </si>
  <si>
    <t>Změna stavu zásob polotovarů</t>
  </si>
  <si>
    <t>613</t>
  </si>
  <si>
    <t>Změna stavu zásob výrobků</t>
  </si>
  <si>
    <t>614</t>
  </si>
  <si>
    <t>Změna stavu zvířat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</si>
  <si>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</si>
  <si>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</si>
  <si>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</si>
  <si>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</si>
  <si>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</si>
  <si>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</si>
  <si>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</si>
  <si>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</si>
  <si>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</si>
  <si>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</si>
  <si>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</si>
  <si>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Platby za odepsané pohledávky</t>
  </si>
  <si>
    <t>644</t>
  </si>
  <si>
    <t>645</t>
  </si>
  <si>
    <t>Kurzové zisky</t>
  </si>
  <si>
    <t>Zúčtování fondu</t>
  </si>
  <si>
    <t>649</t>
  </si>
  <si>
    <t>Jiné ostatní výnosy</t>
  </si>
  <si>
    <t>651</t>
  </si>
  <si>
    <t>Tržby z prodeje dlouhodobého hmotného a nehmotného majetku</t>
  </si>
  <si>
    <t>652</t>
  </si>
  <si>
    <t>Výnosy z dlouhodobého finančního majetku</t>
  </si>
  <si>
    <t>653</t>
  </si>
  <si>
    <t>Tržby z prodeje cenných papírů a vkladů</t>
  </si>
  <si>
    <t>654</t>
  </si>
  <si>
    <t>Tržby z prodeje materiálu</t>
  </si>
  <si>
    <t>655</t>
  </si>
  <si>
    <t>Výnosy z krátkodobého finančního majetku</t>
  </si>
  <si>
    <t>656</t>
  </si>
  <si>
    <t>Zúčtování zákonných rezerv</t>
  </si>
  <si>
    <t>659</t>
  </si>
  <si>
    <t>Zúčtování zákonných opravných položek</t>
  </si>
  <si>
    <t>691</t>
  </si>
  <si>
    <t>Provozní dotace</t>
  </si>
  <si>
    <t>Účtová třída 6 celkem                                          (řádek 32 až 57)</t>
  </si>
  <si>
    <t>Výsledek hospodaření před zdaněním                       (řádek 58-31)</t>
  </si>
  <si>
    <t>591</t>
  </si>
  <si>
    <t>Daň z příjmů</t>
  </si>
  <si>
    <t>595</t>
  </si>
  <si>
    <t>Dodatečné odvody daně z příjmů</t>
  </si>
  <si>
    <t>Výsledek hospodaření po zdanění                        (řádek 59-60-61)</t>
  </si>
  <si>
    <t>IPPP</t>
  </si>
  <si>
    <t>PMJAK</t>
  </si>
  <si>
    <t>STK</t>
  </si>
  <si>
    <t>KJWF</t>
  </si>
  <si>
    <t>NIDV</t>
  </si>
  <si>
    <t>ADV</t>
  </si>
  <si>
    <t>Celkem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</si>
  <si>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</si>
  <si>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</si>
  <si>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</si>
  <si>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</si>
  <si>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</si>
  <si>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</si>
  <si>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</si>
  <si>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1.</t>
  </si>
  <si>
    <t>2.</t>
  </si>
  <si>
    <t>3.</t>
  </si>
  <si>
    <t>US Richtrovy boudy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</si>
  <si>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</si>
  <si>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</si>
  <si>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</si>
  <si>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</si>
  <si>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</si>
  <si>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</si>
  <si>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</si>
  <si>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</si>
  <si>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</si>
  <si>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</si>
  <si>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</si>
  <si>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 OPŘO</t>
  </si>
  <si>
    <t>Tabulka č. 10</t>
  </si>
  <si>
    <t>z vlastní činnosti</t>
  </si>
  <si>
    <t>Abs. rozdíl</t>
  </si>
  <si>
    <t xml:space="preserve">ostatní </t>
  </si>
  <si>
    <t>Převody z vlastních fondů</t>
  </si>
  <si>
    <t>celkem</t>
  </si>
  <si>
    <t>rozpočet</t>
  </si>
  <si>
    <t>skutečnost</t>
  </si>
  <si>
    <t>Tabulka č. 9</t>
  </si>
  <si>
    <t>Rozpočet zákonných odvodů</t>
  </si>
  <si>
    <t xml:space="preserve">Skutečnost </t>
  </si>
  <si>
    <t>Rozdíl            + úspora        - překročení</t>
  </si>
  <si>
    <t>Procento</t>
  </si>
  <si>
    <t>Rozpočet FKSP</t>
  </si>
  <si>
    <t>Rozdíl         + úspora        - překročení</t>
  </si>
  <si>
    <t>Rozpočet OBV</t>
  </si>
  <si>
    <t>Rozpočet ONIV celkem</t>
  </si>
  <si>
    <t>sl. 1</t>
  </si>
  <si>
    <t>sl. 2</t>
  </si>
  <si>
    <t>sl. 3</t>
  </si>
  <si>
    <t>sl.4</t>
  </si>
  <si>
    <t>CELKEM OPŘO - PO</t>
  </si>
  <si>
    <t>Tabulka č. 3</t>
  </si>
  <si>
    <t>Rozpočet nákladů celkem</t>
  </si>
  <si>
    <t>Skutečnost (V + N)</t>
  </si>
  <si>
    <t>Tabulka č. 2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</si>
  <si>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</si>
  <si>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</si>
  <si>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</si>
  <si>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</si>
  <si>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</si>
  <si>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</si>
  <si>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</si>
  <si>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</si>
  <si>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</si>
  <si>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Výnosy</t>
  </si>
  <si>
    <t>CELKEM VÝDAJE</t>
  </si>
  <si>
    <t>Počet zam.</t>
  </si>
  <si>
    <t>Paragraf</t>
  </si>
  <si>
    <t>Popis</t>
  </si>
  <si>
    <t>5331                    01</t>
  </si>
  <si>
    <t>5331                    02</t>
  </si>
  <si>
    <t>5331                    03</t>
  </si>
  <si>
    <t>5331                    04</t>
  </si>
  <si>
    <t>5331                    05</t>
  </si>
  <si>
    <t>IPPP CELKEM</t>
  </si>
  <si>
    <t>DZS CELKEM</t>
  </si>
  <si>
    <t>3299 - 38</t>
  </si>
  <si>
    <t>RB-KMENOVÁ ČINNOST</t>
  </si>
  <si>
    <t>RB CELKEM</t>
  </si>
  <si>
    <t>3299 - 41</t>
  </si>
  <si>
    <t>ÚIV-KMENOVÁ ČINNOST</t>
  </si>
  <si>
    <t>3299 - 42</t>
  </si>
  <si>
    <t>ÚIV-PROJEKTY</t>
  </si>
  <si>
    <t>3299 - AB</t>
  </si>
  <si>
    <t>ÚIV-OST.MIMO  PROJEKTY A KMEN.ČINNOST</t>
  </si>
  <si>
    <t>ÚIV CELKEM</t>
  </si>
  <si>
    <t>3299 - 44</t>
  </si>
  <si>
    <t>NÚOV-KMENOVÁ ČINNOST</t>
  </si>
  <si>
    <t>3299 - 45</t>
  </si>
  <si>
    <t>NÚOV-PROJEKTY</t>
  </si>
  <si>
    <t>3299 - AC</t>
  </si>
  <si>
    <t>NÚOV-OST.MIMO PROJEKTY A KMEN.ČINNOST</t>
  </si>
  <si>
    <t>NÚOV CELKEM</t>
  </si>
  <si>
    <t>3299 - 47</t>
  </si>
  <si>
    <t>VÚP-KMENOVÁ ČINNOST</t>
  </si>
  <si>
    <t>3299 - 48</t>
  </si>
  <si>
    <t>VÚP-PROJEKTY</t>
  </si>
  <si>
    <t>3299 - AD</t>
  </si>
  <si>
    <t>VÚP-OST.MIMO PROJEKTY A KMEN.ČINNOST</t>
  </si>
  <si>
    <t>VÚP CELKEM</t>
  </si>
  <si>
    <t>3315 - 01</t>
  </si>
  <si>
    <t>MJAK-KMENOVÁ ČINNOST</t>
  </si>
  <si>
    <t>3315 - 05</t>
  </si>
  <si>
    <t>MJAK-OST.MIMO PROJEKTY A KMEN.ČINNOST</t>
  </si>
  <si>
    <t>MJAK CELKEM</t>
  </si>
  <si>
    <t>3421 - 11</t>
  </si>
  <si>
    <t>NIDM-KMENOVÁ ČINNOST</t>
  </si>
  <si>
    <t>3421 - 12</t>
  </si>
  <si>
    <t>NIDM-NA MLÁDEŽ</t>
  </si>
  <si>
    <t>3421 - 17</t>
  </si>
  <si>
    <t>NIDM-OST.MIMO PROJ A KMEN. ČIN.</t>
  </si>
  <si>
    <t>NIDM CELKEM</t>
  </si>
  <si>
    <t>3314 - 01</t>
  </si>
  <si>
    <t>STK-KMENOVÁ ČINNOST</t>
  </si>
  <si>
    <t>3314 - 03</t>
  </si>
  <si>
    <t>STK-PROJEKTY</t>
  </si>
  <si>
    <t>3314 - 07</t>
  </si>
  <si>
    <t>STK-OST.MIMO  PROJEKTY A KMEN.ČINNOST</t>
  </si>
  <si>
    <t>3809 - 38</t>
  </si>
  <si>
    <t>STK NPV-ÚČELOVÉ PROSTŘEDKY</t>
  </si>
  <si>
    <t>STK CELKEM</t>
  </si>
  <si>
    <t>3299 - 53</t>
  </si>
  <si>
    <t>KJWF-KMENOVÁ ČINNOST</t>
  </si>
  <si>
    <t>KJWFCELKEM</t>
  </si>
  <si>
    <t>3299 - 59</t>
  </si>
  <si>
    <t>NIVD PRAHA-KMENOVÁ ČINNOST</t>
  </si>
  <si>
    <t>NIDV CELKEM</t>
  </si>
  <si>
    <t>3299 - 62</t>
  </si>
  <si>
    <t>PC TĚŠÍN-KMENOVÁ ČINNOST</t>
  </si>
  <si>
    <t>PC ČT CELKEM</t>
  </si>
  <si>
    <t>3299 - 56</t>
  </si>
  <si>
    <t>VKC-KMENOVÁ ČINNOST</t>
  </si>
  <si>
    <t>VKC CELKEM</t>
  </si>
  <si>
    <t>3411 - 01</t>
  </si>
  <si>
    <t>ADV - KMEN.ČINNOST</t>
  </si>
  <si>
    <t>ADV CELKEM</t>
  </si>
  <si>
    <t>CELKEM</t>
  </si>
  <si>
    <t>rok 2007</t>
  </si>
  <si>
    <t>UIV</t>
  </si>
  <si>
    <t>NUOV</t>
  </si>
  <si>
    <t>VUP</t>
  </si>
  <si>
    <t>PC CT</t>
  </si>
  <si>
    <t>ÚIV-VAV ÚČEL.PROSTŘ.-NPV</t>
  </si>
  <si>
    <t>ÚIV-VAV-POSK.ÚČEL.PROSTŘ.</t>
  </si>
  <si>
    <t>3809 - 36</t>
  </si>
  <si>
    <t>3809 - 25</t>
  </si>
  <si>
    <t>3315 - 03</t>
  </si>
  <si>
    <t>MJAK - projekty</t>
  </si>
  <si>
    <t>3299 - C6</t>
  </si>
  <si>
    <t>3299 - 49</t>
  </si>
  <si>
    <t>NIDM OST.MEZINÁR.SEMINÁŘE A KONFERENCE</t>
  </si>
  <si>
    <t>NIDM -soutěže</t>
  </si>
  <si>
    <t>3299 - C5</t>
  </si>
  <si>
    <t>OBV ISPROFIN</t>
  </si>
  <si>
    <t>Tabulka č. 7</t>
  </si>
  <si>
    <t>Tabulka č. 8</t>
  </si>
  <si>
    <t>Porovnání rozpočtu celkových nákladů a skutečnosti OPŘO za rok 2008</t>
  </si>
  <si>
    <t>Porovnání rozpočtu ONIV celkem a skutečnosti OPŘO za rok 2008</t>
  </si>
  <si>
    <t>Porovnání rozpočtovaných výnosů se skutečností za rok 2008</t>
  </si>
  <si>
    <t>Přehled o hospodářských výsledcích OPŘO celkem za rok 2008</t>
  </si>
  <si>
    <t>Výsledek hospodaření OPŘO za rok 2008 - jiná činnost</t>
  </si>
  <si>
    <t>Výsledek hospodaření OPŘO za rok 2008 - hlavní činnost</t>
  </si>
  <si>
    <t>Stav k 1.1.2007</t>
  </si>
  <si>
    <t>Stav k 31.12.2007 (k 1.1.2008)</t>
  </si>
  <si>
    <t>Stav k 31.12.2008</t>
  </si>
  <si>
    <t>Stav po přídělu v r. 2009</t>
  </si>
  <si>
    <t>Peněžní fondy organizací po přídělu ze ZVH v r. 2009</t>
  </si>
  <si>
    <t>3146 - 02</t>
  </si>
  <si>
    <t>IPPP-KMENOVÁ ČINNOST</t>
  </si>
  <si>
    <t>3146 - 04</t>
  </si>
  <si>
    <t>IPPP-OST.VÝCH.ZAŘ. PROJEKTY</t>
  </si>
  <si>
    <t>3146 - 07</t>
  </si>
  <si>
    <t>IPPP-OST.VÝCH.ZAŘ.MIMO KM ČIN. A PROJ.</t>
  </si>
  <si>
    <t>3291 - 81</t>
  </si>
  <si>
    <t>IPPP SK.2 VIP KARIÉRA Z ROZP.EU</t>
  </si>
  <si>
    <t>3291 - 80</t>
  </si>
  <si>
    <t>IPPP SKUP.2 VIP KARIÉRA ZE SR</t>
  </si>
  <si>
    <t>3291 - EH</t>
  </si>
  <si>
    <t>IPPP sk.2 SIM z rozpočtu EU</t>
  </si>
  <si>
    <t>3291 - EG</t>
  </si>
  <si>
    <t>IPPP sk.2 SIM ze státního rozpočtu</t>
  </si>
  <si>
    <t>3291 - ET</t>
  </si>
  <si>
    <t>sk.2 IPPP Propos z rozpočtu EU</t>
  </si>
  <si>
    <t>3291 - ES</t>
  </si>
  <si>
    <t>IPPP sk.2 Propos ze státního rozpočtu</t>
  </si>
  <si>
    <t>3299 - DD</t>
  </si>
  <si>
    <t>IPPP rozvojové programy sk.2</t>
  </si>
  <si>
    <t>3299 - C4</t>
  </si>
  <si>
    <t>IPPP výdaje spojené s předsednictvím v RE</t>
  </si>
  <si>
    <t>3299 - CU</t>
  </si>
  <si>
    <t>IPPP - mezinárodní konference a semináře</t>
  </si>
  <si>
    <t>3541 - 01</t>
  </si>
  <si>
    <t>IPPP-PROTIDROGOVÁ POL.</t>
  </si>
  <si>
    <t>3291 - EF</t>
  </si>
  <si>
    <t>DZS sk.6 TA Konference  z rozpočtu EU</t>
  </si>
  <si>
    <t>3291 - EE</t>
  </si>
  <si>
    <t>3299 - 14</t>
  </si>
  <si>
    <t>DZS 2007-13 programy EHP Norsko z rozp. EHP</t>
  </si>
  <si>
    <t>3299 - 13</t>
  </si>
  <si>
    <t>DZS 2007-13 programy EHP Norsko ze SR</t>
  </si>
  <si>
    <t>3299 - C2</t>
  </si>
  <si>
    <t>DZS - výdaje spojené s předsednictvím v RE</t>
  </si>
  <si>
    <t>3299 - 94</t>
  </si>
  <si>
    <t>SEMINÁŘ LISABONSKÁ KONF.</t>
  </si>
  <si>
    <t>3299 - 46</t>
  </si>
  <si>
    <t>DZS OST.MEZ.KONF.A SEMINÁŘE</t>
  </si>
  <si>
    <t>3299 - 32</t>
  </si>
  <si>
    <t>DZS-KMENOVÁ ČINNOST</t>
  </si>
  <si>
    <t>3299 - 34</t>
  </si>
  <si>
    <t>DZS-PROJEKTY</t>
  </si>
  <si>
    <t>3299 - AZ</t>
  </si>
  <si>
    <t>DZS PROJEKTY -LEKTORÁTY ČJ</t>
  </si>
  <si>
    <t>3299 - BZ</t>
  </si>
  <si>
    <t>DZS - programy kulturního dědictví</t>
  </si>
  <si>
    <t>3299 - 36</t>
  </si>
  <si>
    <t>DZS-OST.MIMO  PROJEKTY A KMEN. ČINNOST</t>
  </si>
  <si>
    <t>3299 - 11</t>
  </si>
  <si>
    <t>DZS - NAEP</t>
  </si>
  <si>
    <t>3299 - AN</t>
  </si>
  <si>
    <t>DZS - ostatní - Evropské školy</t>
  </si>
  <si>
    <t>3809 - 11</t>
  </si>
  <si>
    <t>DZS-VAV-ÚČEL.PROSTŘ.NPV</t>
  </si>
  <si>
    <t>3291 - 35</t>
  </si>
  <si>
    <t>ÚIV SK.2 KVALITA I Z ROZP.EU</t>
  </si>
  <si>
    <t>3291 - 34</t>
  </si>
  <si>
    <t>ÚIV SK.2 KVALITA I ZE SR</t>
  </si>
  <si>
    <t>3299 - 77</t>
  </si>
  <si>
    <t>výdaje spojené s předsednictvím v Radě EU</t>
  </si>
  <si>
    <t>3299 - D6</t>
  </si>
  <si>
    <t>ÚIV mezinár. konference semináře</t>
  </si>
  <si>
    <t>3299 - CW</t>
  </si>
  <si>
    <t>ÚIV - projekty OECD</t>
  </si>
  <si>
    <t>3299 - CM</t>
  </si>
  <si>
    <t>ÚIV - projekt ŠVIP</t>
  </si>
  <si>
    <t>3291 - 37</t>
  </si>
  <si>
    <t>NÚOV SK.2 KVALITA I Z ROZP. EU</t>
  </si>
  <si>
    <t>3291 - 36</t>
  </si>
  <si>
    <t>NÚOV SK.2 KVALITA I ZE SR</t>
  </si>
  <si>
    <t>3291 - 39</t>
  </si>
  <si>
    <t>NÚOV SK.2 NSK Z ROZP.EU</t>
  </si>
  <si>
    <t>3291 - 38</t>
  </si>
  <si>
    <t>NÚOV SK.2 NSK ZE SR</t>
  </si>
  <si>
    <t>3291 - 79</t>
  </si>
  <si>
    <t>NÚOV SK.2 VIP KARIÉRA Z ROZP.EU</t>
  </si>
  <si>
    <t>3291 - 78</t>
  </si>
  <si>
    <t>NÚOV SK.2 VIP KARIÉRA ZE SR</t>
  </si>
  <si>
    <t>3291 - 75</t>
  </si>
  <si>
    <t>NÚOV SK.2 UNIV Z ROZP.EU</t>
  </si>
  <si>
    <t>3291 - 74</t>
  </si>
  <si>
    <t>NÚOV SK.2 UNIV ZE SR</t>
  </si>
  <si>
    <t>3291 - 31</t>
  </si>
  <si>
    <t>NÚOV SK.2 PILOT S Z ROZPOČTU EU</t>
  </si>
  <si>
    <t>3291 - 30</t>
  </si>
  <si>
    <t>NÚOV SK.2 PILOT S ZE SR</t>
  </si>
  <si>
    <t>3291 - 51</t>
  </si>
  <si>
    <t>NÚOV Partnerství a kvalita z EU</t>
  </si>
  <si>
    <t>3291 - 50</t>
  </si>
  <si>
    <t>NÚOV OPRLZ Partnerství a kvalita ze SR</t>
  </si>
  <si>
    <t>3299 - CE</t>
  </si>
  <si>
    <t>NÚOV - výdaje na předsednictví ČR v RE</t>
  </si>
  <si>
    <t>3299 - DA</t>
  </si>
  <si>
    <t>NÚOV sk.2 - konečný uživatel Průřezového programu</t>
  </si>
  <si>
    <t>3291 - D6</t>
  </si>
  <si>
    <t>VÚP sk.2 Metodika z rozpočtu EU</t>
  </si>
  <si>
    <t>3291 - D5</t>
  </si>
  <si>
    <t>VÚP sk.2 Metodika ze SR</t>
  </si>
  <si>
    <t>3291 - 33</t>
  </si>
  <si>
    <t>VÚP SK.2 PILOT G Z ROZP.EU</t>
  </si>
  <si>
    <t>3291 - 32</t>
  </si>
  <si>
    <t>VÚP SK.2 PILOT G ZE SR</t>
  </si>
  <si>
    <t>6221 - 04</t>
  </si>
  <si>
    <t>VÚP integrace cizinců - sk. 2</t>
  </si>
  <si>
    <t>3292 - 02</t>
  </si>
  <si>
    <t>PMJAK vzdělávání národ. menšin a multikult.vých.</t>
  </si>
  <si>
    <t>3299 - CN</t>
  </si>
  <si>
    <t>MJAK - výdaje na předsednictví ČR v RE</t>
  </si>
  <si>
    <t>3299 - D2</t>
  </si>
  <si>
    <t>NIDM OP VpK Studie a analýzy ze rozp.EU</t>
  </si>
  <si>
    <t>3299 - D1</t>
  </si>
  <si>
    <t>NIDM OP VpK Studie a analýzy  ze SR</t>
  </si>
  <si>
    <t>NIDM výdaje spojené s předsednictvím v RE</t>
  </si>
  <si>
    <t>3421 - 07</t>
  </si>
  <si>
    <t>3299 - 74</t>
  </si>
  <si>
    <t>STK - kmenová činnost dodatek</t>
  </si>
  <si>
    <t>3809 - 55</t>
  </si>
  <si>
    <t>KJWF inst. VaV mezinár. spolupráce</t>
  </si>
  <si>
    <t>3291 - 99</t>
  </si>
  <si>
    <t>NIDV  Úspěšný ředitel z rozpočtu EU</t>
  </si>
  <si>
    <t>3291 - 98</t>
  </si>
  <si>
    <t>NIDV Úspěšný ředitel ze státního rozpočtu</t>
  </si>
  <si>
    <t>3299 - D5</t>
  </si>
  <si>
    <t>NIDV - rozvojové programy sk.2</t>
  </si>
  <si>
    <t>NIDV výdaje spojené s předsednictvím v RE</t>
  </si>
  <si>
    <t>3299 - 60</t>
  </si>
  <si>
    <t>NIVD PRAHA-PROJEKTY</t>
  </si>
  <si>
    <t>3299 - CZ</t>
  </si>
  <si>
    <t>VKC 2007-13 OP VpK z rozp. EU hodnotitelský proces</t>
  </si>
  <si>
    <t>3299 - CY</t>
  </si>
  <si>
    <t>VKC -2007-13 OP VpK ze SR hodnotitelský proces</t>
  </si>
  <si>
    <t>Upravený rozpočet OPŘO na rok 2008 včetně prostředků z RF kapitoly</t>
  </si>
  <si>
    <t>Upravený rozpočet na ESF, TP a TA OPŘO na rok 2008 včetně prostředků z RF kapitoly</t>
  </si>
  <si>
    <t>ESF a TP CELKEM IPPP</t>
  </si>
  <si>
    <t>DZS sk.6 TA Konference ze SR</t>
  </si>
  <si>
    <t>ESF a TP CELKEM DZS</t>
  </si>
  <si>
    <t>ESF a TP CELKEM ÚIV</t>
  </si>
  <si>
    <t>3291 - 95</t>
  </si>
  <si>
    <t>NÚOV Grantové projekty z EU</t>
  </si>
  <si>
    <t>3291 - 94</t>
  </si>
  <si>
    <t>NÚOV Grantové projekty ze SR</t>
  </si>
  <si>
    <t>ESF a TP CELKEM NÚOV</t>
  </si>
  <si>
    <t>ESF a TP CELKEM VÚP</t>
  </si>
  <si>
    <t>3291 - 29</t>
  </si>
  <si>
    <t>TP z EU</t>
  </si>
  <si>
    <t>3291 - 28</t>
  </si>
  <si>
    <t>TP ze SR</t>
  </si>
  <si>
    <t>ESF a TP CELKEM NIDM</t>
  </si>
  <si>
    <t>ESF a TP CELKEM NIDV</t>
  </si>
  <si>
    <t>3291 - E9</t>
  </si>
  <si>
    <t>TP Programování z EU</t>
  </si>
  <si>
    <t>3292 - E8</t>
  </si>
  <si>
    <t>TP Programování ze SR</t>
  </si>
  <si>
    <t>3293 - F2</t>
  </si>
  <si>
    <t>TP Pilot-Hsič z EU</t>
  </si>
  <si>
    <t>3294 - F1</t>
  </si>
  <si>
    <t>TP Pilot-Hsič ze SR</t>
  </si>
  <si>
    <t>ESF a TP CELKEM VKC</t>
  </si>
  <si>
    <t>Rozdíl           + úspora          - překročení (ke sl. 2)</t>
  </si>
  <si>
    <t>Tabulka č. 1</t>
  </si>
  <si>
    <t>Tvorba</t>
  </si>
  <si>
    <t>rok 2008</t>
  </si>
  <si>
    <t>Tabulka č. 4</t>
  </si>
  <si>
    <t>Tabulka č. 5</t>
  </si>
  <si>
    <t>Tabulka č. 6</t>
  </si>
  <si>
    <t>Tabulka č.11</t>
  </si>
  <si>
    <t>Změna stavu za rok 2008 (4-1)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</si>
</sst>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"/>
    <numFmt numFmtId="166" formatCode="d/m/yy\ h:mm"/>
    <numFmt numFmtId="167" formatCode="d/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dd/mm/yy"/>
    <numFmt numFmtId="181" formatCode="000\ 00"/>
    <numFmt numFmtId="182" formatCode="0.0000000"/>
    <numFmt numFmtId="183" formatCode="0_ ;[Red]\-0\ "/>
    <numFmt numFmtId="184" formatCode="#,##0_ ;[Red]\-#,##0\ "/>
  </numFmts>
  <fonts count="35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0"/>
    </font>
    <font>
      <sz val="8"/>
      <name val="Arial"/>
      <family val="0"/>
    </font>
    <font>
      <i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47">
      <alignment/>
      <protection/>
    </xf>
    <xf numFmtId="0" fontId="4" fillId="0" borderId="0" xfId="49" applyFont="1">
      <alignment/>
      <protection/>
    </xf>
    <xf numFmtId="0" fontId="4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0" xfId="47" applyFont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>
      <alignment/>
      <protection/>
    </xf>
    <xf numFmtId="4" fontId="2" fillId="0" borderId="17" xfId="47" applyNumberFormat="1" applyBorder="1">
      <alignment/>
      <protection/>
    </xf>
    <xf numFmtId="4" fontId="2" fillId="0" borderId="18" xfId="47" applyNumberFormat="1" applyBorder="1">
      <alignment/>
      <protection/>
    </xf>
    <xf numFmtId="2" fontId="2" fillId="0" borderId="0" xfId="47" applyNumberFormat="1">
      <alignment/>
      <protection/>
    </xf>
    <xf numFmtId="0" fontId="5" fillId="0" borderId="19" xfId="47" applyFont="1" applyBorder="1">
      <alignment/>
      <protection/>
    </xf>
    <xf numFmtId="3" fontId="2" fillId="0" borderId="20" xfId="47" applyNumberFormat="1" applyBorder="1">
      <alignment/>
      <protection/>
    </xf>
    <xf numFmtId="4" fontId="2" fillId="0" borderId="20" xfId="47" applyNumberFormat="1" applyBorder="1">
      <alignment/>
      <protection/>
    </xf>
    <xf numFmtId="4" fontId="2" fillId="0" borderId="21" xfId="47" applyNumberFormat="1" applyBorder="1">
      <alignment/>
      <protection/>
    </xf>
    <xf numFmtId="0" fontId="5" fillId="0" borderId="22" xfId="47" applyFont="1" applyBorder="1">
      <alignment/>
      <protection/>
    </xf>
    <xf numFmtId="4" fontId="2" fillId="0" borderId="23" xfId="47" applyNumberFormat="1" applyBorder="1">
      <alignment/>
      <protection/>
    </xf>
    <xf numFmtId="4" fontId="2" fillId="0" borderId="24" xfId="47" applyNumberFormat="1" applyBorder="1">
      <alignment/>
      <protection/>
    </xf>
    <xf numFmtId="0" fontId="5" fillId="0" borderId="10" xfId="47" applyFont="1" applyBorder="1">
      <alignment/>
      <protection/>
    </xf>
    <xf numFmtId="2" fontId="5" fillId="0" borderId="10" xfId="47" applyNumberFormat="1" applyFont="1" applyBorder="1" applyAlignment="1">
      <alignment horizontal="right"/>
      <protection/>
    </xf>
    <xf numFmtId="4" fontId="5" fillId="0" borderId="10" xfId="47" applyNumberFormat="1" applyFont="1" applyBorder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4" fontId="5" fillId="0" borderId="10" xfId="47" applyNumberFormat="1" applyFont="1" applyBorder="1" applyAlignment="1">
      <alignment horizontal="right"/>
      <protection/>
    </xf>
    <xf numFmtId="4" fontId="2" fillId="0" borderId="21" xfId="47" applyNumberFormat="1" applyFont="1" applyBorder="1">
      <alignment/>
      <protection/>
    </xf>
    <xf numFmtId="0" fontId="5" fillId="0" borderId="0" xfId="47" applyFont="1" applyBorder="1">
      <alignment/>
      <protection/>
    </xf>
    <xf numFmtId="4" fontId="5" fillId="0" borderId="0" xfId="47" applyNumberFormat="1" applyFont="1" applyBorder="1" applyAlignment="1">
      <alignment horizontal="right"/>
      <protection/>
    </xf>
    <xf numFmtId="4" fontId="5" fillId="0" borderId="0" xfId="47" applyNumberFormat="1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4" fontId="2" fillId="0" borderId="25" xfId="47" applyNumberFormat="1" applyBorder="1" applyAlignment="1">
      <alignment horizontal="right"/>
      <protection/>
    </xf>
    <xf numFmtId="4" fontId="2" fillId="0" borderId="17" xfId="47" applyNumberFormat="1" applyFont="1" applyBorder="1">
      <alignment/>
      <protection/>
    </xf>
    <xf numFmtId="4" fontId="2" fillId="0" borderId="18" xfId="47" applyNumberFormat="1" applyFont="1" applyBorder="1">
      <alignment/>
      <protection/>
    </xf>
    <xf numFmtId="4" fontId="2" fillId="0" borderId="26" xfId="47" applyNumberFormat="1" applyBorder="1" applyAlignment="1">
      <alignment horizontal="right"/>
      <protection/>
    </xf>
    <xf numFmtId="4" fontId="2" fillId="0" borderId="20" xfId="47" applyNumberFormat="1" applyFont="1" applyBorder="1">
      <alignment/>
      <protection/>
    </xf>
    <xf numFmtId="4" fontId="5" fillId="0" borderId="27" xfId="47" applyNumberFormat="1" applyFont="1" applyBorder="1" applyAlignment="1">
      <alignment horizontal="right"/>
      <protection/>
    </xf>
    <xf numFmtId="0" fontId="5" fillId="0" borderId="0" xfId="50" applyFont="1" applyAlignment="1">
      <alignment horizontal="right"/>
      <protection/>
    </xf>
    <xf numFmtId="0" fontId="2" fillId="0" borderId="14" xfId="47" applyBorder="1">
      <alignment/>
      <protection/>
    </xf>
    <xf numFmtId="0" fontId="2" fillId="0" borderId="28" xfId="47" applyBorder="1">
      <alignment/>
      <protection/>
    </xf>
    <xf numFmtId="0" fontId="2" fillId="0" borderId="29" xfId="47" applyBorder="1">
      <alignment/>
      <protection/>
    </xf>
    <xf numFmtId="0" fontId="5" fillId="0" borderId="11" xfId="47" applyFont="1" applyBorder="1">
      <alignment/>
      <protection/>
    </xf>
    <xf numFmtId="0" fontId="2" fillId="0" borderId="27" xfId="47" applyBorder="1">
      <alignment/>
      <protection/>
    </xf>
    <xf numFmtId="0" fontId="5" fillId="0" borderId="30" xfId="47" applyFont="1" applyBorder="1" applyAlignment="1">
      <alignment horizontal="center" vertical="center" wrapText="1"/>
      <protection/>
    </xf>
    <xf numFmtId="0" fontId="5" fillId="0" borderId="31" xfId="47" applyFont="1" applyBorder="1" applyAlignment="1">
      <alignment horizontal="center" vertical="center" wrapText="1"/>
      <protection/>
    </xf>
    <xf numFmtId="0" fontId="2" fillId="0" borderId="12" xfId="47" applyBorder="1" applyAlignment="1">
      <alignment horizontal="center" vertical="center" wrapText="1"/>
      <protection/>
    </xf>
    <xf numFmtId="0" fontId="2" fillId="0" borderId="0" xfId="47" applyBorder="1">
      <alignment/>
      <protection/>
    </xf>
    <xf numFmtId="0" fontId="2" fillId="0" borderId="32" xfId="47" applyBorder="1" applyAlignment="1">
      <alignment horizontal="center"/>
      <protection/>
    </xf>
    <xf numFmtId="4" fontId="2" fillId="0" borderId="0" xfId="47" applyNumberFormat="1">
      <alignment/>
      <protection/>
    </xf>
    <xf numFmtId="0" fontId="2" fillId="0" borderId="33" xfId="47" applyBorder="1" applyAlignment="1">
      <alignment horizontal="center"/>
      <protection/>
    </xf>
    <xf numFmtId="0" fontId="2" fillId="0" borderId="34" xfId="47" applyBorder="1" applyAlignment="1">
      <alignment horizontal="center"/>
      <protection/>
    </xf>
    <xf numFmtId="0" fontId="5" fillId="24" borderId="19" xfId="47" applyFont="1" applyFill="1" applyBorder="1">
      <alignment/>
      <protection/>
    </xf>
    <xf numFmtId="0" fontId="2" fillId="24" borderId="34" xfId="47" applyFill="1" applyBorder="1" applyAlignment="1">
      <alignment horizontal="center"/>
      <protection/>
    </xf>
    <xf numFmtId="4" fontId="2" fillId="24" borderId="20" xfId="47" applyNumberFormat="1" applyFill="1" applyBorder="1">
      <alignment/>
      <protection/>
    </xf>
    <xf numFmtId="4" fontId="2" fillId="24" borderId="23" xfId="47" applyNumberFormat="1" applyFill="1" applyBorder="1">
      <alignment/>
      <protection/>
    </xf>
    <xf numFmtId="4" fontId="2" fillId="24" borderId="24" xfId="47" applyNumberFormat="1" applyFill="1" applyBorder="1">
      <alignment/>
      <protection/>
    </xf>
    <xf numFmtId="0" fontId="2" fillId="24" borderId="0" xfId="47" applyFill="1">
      <alignment/>
      <protection/>
    </xf>
    <xf numFmtId="4" fontId="5" fillId="0" borderId="29" xfId="47" applyNumberFormat="1" applyFont="1" applyBorder="1">
      <alignment/>
      <protection/>
    </xf>
    <xf numFmtId="0" fontId="2" fillId="0" borderId="17" xfId="47" applyBorder="1" applyAlignment="1">
      <alignment horizontal="center"/>
      <protection/>
    </xf>
    <xf numFmtId="0" fontId="2" fillId="0" borderId="20" xfId="47" applyBorder="1" applyAlignment="1">
      <alignment horizontal="center"/>
      <protection/>
    </xf>
    <xf numFmtId="0" fontId="2" fillId="0" borderId="23" xfId="47" applyBorder="1" applyAlignment="1">
      <alignment horizontal="center"/>
      <protection/>
    </xf>
    <xf numFmtId="0" fontId="2" fillId="24" borderId="20" xfId="47" applyFill="1" applyBorder="1" applyAlignment="1">
      <alignment horizontal="center"/>
      <protection/>
    </xf>
    <xf numFmtId="0" fontId="2" fillId="24" borderId="23" xfId="47" applyFill="1" applyBorder="1" applyAlignment="1">
      <alignment horizontal="center"/>
      <protection/>
    </xf>
    <xf numFmtId="0" fontId="2" fillId="0" borderId="14" xfId="47" applyBorder="1" applyAlignment="1">
      <alignment horizontal="center" vertical="center" wrapText="1"/>
      <protection/>
    </xf>
    <xf numFmtId="0" fontId="5" fillId="0" borderId="35" xfId="47" applyFont="1" applyBorder="1">
      <alignment/>
      <protection/>
    </xf>
    <xf numFmtId="0" fontId="2" fillId="0" borderId="36" xfId="47" applyBorder="1">
      <alignment/>
      <protection/>
    </xf>
    <xf numFmtId="4" fontId="5" fillId="0" borderId="16" xfId="47" applyNumberFormat="1" applyFont="1" applyBorder="1">
      <alignment/>
      <protection/>
    </xf>
    <xf numFmtId="3" fontId="5" fillId="0" borderId="16" xfId="47" applyNumberFormat="1" applyFont="1" applyBorder="1">
      <alignment/>
      <protection/>
    </xf>
    <xf numFmtId="4" fontId="5" fillId="0" borderId="35" xfId="47" applyNumberFormat="1" applyFont="1" applyBorder="1">
      <alignment/>
      <protection/>
    </xf>
    <xf numFmtId="0" fontId="5" fillId="0" borderId="37" xfId="47" applyFont="1" applyBorder="1">
      <alignment/>
      <protection/>
    </xf>
    <xf numFmtId="0" fontId="2" fillId="0" borderId="26" xfId="47" applyBorder="1">
      <alignment/>
      <protection/>
    </xf>
    <xf numFmtId="3" fontId="5" fillId="0" borderId="19" xfId="47" applyNumberFormat="1" applyFont="1" applyBorder="1">
      <alignment/>
      <protection/>
    </xf>
    <xf numFmtId="4" fontId="5" fillId="0" borderId="19" xfId="47" applyNumberFormat="1" applyFont="1" applyBorder="1">
      <alignment/>
      <protection/>
    </xf>
    <xf numFmtId="4" fontId="5" fillId="0" borderId="37" xfId="47" applyNumberFormat="1" applyFont="1" applyBorder="1">
      <alignment/>
      <protection/>
    </xf>
    <xf numFmtId="0" fontId="5" fillId="0" borderId="38" xfId="47" applyFont="1" applyBorder="1">
      <alignment/>
      <protection/>
    </xf>
    <xf numFmtId="0" fontId="2" fillId="0" borderId="37" xfId="47" applyBorder="1">
      <alignment/>
      <protection/>
    </xf>
    <xf numFmtId="0" fontId="5" fillId="0" borderId="39" xfId="47" applyFont="1" applyBorder="1">
      <alignment/>
      <protection/>
    </xf>
    <xf numFmtId="3" fontId="5" fillId="0" borderId="37" xfId="47" applyNumberFormat="1" applyFont="1" applyBorder="1">
      <alignment/>
      <protection/>
    </xf>
    <xf numFmtId="0" fontId="2" fillId="0" borderId="40" xfId="47" applyBorder="1">
      <alignment/>
      <protection/>
    </xf>
    <xf numFmtId="0" fontId="2" fillId="0" borderId="15" xfId="47" applyBorder="1">
      <alignment/>
      <protection/>
    </xf>
    <xf numFmtId="0" fontId="5" fillId="0" borderId="29" xfId="47" applyFont="1" applyBorder="1" applyAlignment="1">
      <alignment horizontal="center" vertical="center" wrapText="1"/>
      <protection/>
    </xf>
    <xf numFmtId="0" fontId="2" fillId="0" borderId="41" xfId="47" applyBorder="1">
      <alignment/>
      <protection/>
    </xf>
    <xf numFmtId="0" fontId="2" fillId="0" borderId="42" xfId="47" applyBorder="1">
      <alignment/>
      <protection/>
    </xf>
    <xf numFmtId="0" fontId="5" fillId="0" borderId="28" xfId="47" applyFont="1" applyBorder="1" applyAlignment="1">
      <alignment horizontal="center"/>
      <protection/>
    </xf>
    <xf numFmtId="4" fontId="2" fillId="0" borderId="36" xfId="47" applyNumberFormat="1" applyBorder="1">
      <alignment/>
      <protection/>
    </xf>
    <xf numFmtId="4" fontId="2" fillId="0" borderId="26" xfId="47" applyNumberFormat="1" applyBorder="1">
      <alignment/>
      <protection/>
    </xf>
    <xf numFmtId="4" fontId="2" fillId="24" borderId="26" xfId="47" applyNumberFormat="1" applyFill="1" applyBorder="1">
      <alignment/>
      <protection/>
    </xf>
    <xf numFmtId="4" fontId="2" fillId="24" borderId="21" xfId="47" applyNumberFormat="1" applyFill="1" applyBorder="1">
      <alignment/>
      <protection/>
    </xf>
    <xf numFmtId="3" fontId="2" fillId="24" borderId="20" xfId="47" applyNumberFormat="1" applyFill="1" applyBorder="1">
      <alignment/>
      <protection/>
    </xf>
    <xf numFmtId="3" fontId="2" fillId="24" borderId="21" xfId="47" applyNumberFormat="1" applyFill="1" applyBorder="1">
      <alignment/>
      <protection/>
    </xf>
    <xf numFmtId="4" fontId="2" fillId="24" borderId="43" xfId="47" applyNumberFormat="1" applyFill="1" applyBorder="1">
      <alignment/>
      <protection/>
    </xf>
    <xf numFmtId="0" fontId="5" fillId="24" borderId="10" xfId="47" applyFont="1" applyFill="1" applyBorder="1" applyAlignment="1">
      <alignment horizontal="center"/>
      <protection/>
    </xf>
    <xf numFmtId="4" fontId="5" fillId="24" borderId="27" xfId="47" applyNumberFormat="1" applyFont="1" applyFill="1" applyBorder="1">
      <alignment/>
      <protection/>
    </xf>
    <xf numFmtId="4" fontId="5" fillId="24" borderId="10" xfId="47" applyNumberFormat="1" applyFont="1" applyFill="1" applyBorder="1">
      <alignment/>
      <protection/>
    </xf>
    <xf numFmtId="4" fontId="2" fillId="24" borderId="20" xfId="47" applyNumberFormat="1" applyFont="1" applyFill="1" applyBorder="1">
      <alignment/>
      <protection/>
    </xf>
    <xf numFmtId="3" fontId="2" fillId="0" borderId="20" xfId="47" applyNumberFormat="1" applyFont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quotePrefix="1">
      <alignment/>
      <protection/>
    </xf>
    <xf numFmtId="0" fontId="8" fillId="0" borderId="0" xfId="48" applyFont="1">
      <alignment/>
      <protection/>
    </xf>
    <xf numFmtId="14" fontId="4" fillId="0" borderId="0" xfId="48" applyNumberFormat="1" applyFont="1" applyFill="1" quotePrefix="1">
      <alignment/>
      <protection/>
    </xf>
    <xf numFmtId="0" fontId="2" fillId="0" borderId="0" xfId="48">
      <alignment/>
      <protection/>
    </xf>
    <xf numFmtId="0" fontId="4" fillId="0" borderId="0" xfId="52" applyFont="1">
      <alignment/>
      <protection/>
    </xf>
    <xf numFmtId="14" fontId="4" fillId="0" borderId="0" xfId="48" applyNumberFormat="1" applyFont="1" quotePrefix="1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right"/>
      <protection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2" fillId="0" borderId="0" xfId="52" applyFont="1" applyAlignment="1">
      <alignment horizontal="right"/>
      <protection/>
    </xf>
    <xf numFmtId="0" fontId="8" fillId="0" borderId="0" xfId="48" applyFont="1" applyFill="1">
      <alignment/>
      <protection/>
    </xf>
    <xf numFmtId="0" fontId="6" fillId="0" borderId="0" xfId="0" applyFont="1" applyAlignment="1">
      <alignment/>
    </xf>
    <xf numFmtId="0" fontId="0" fillId="0" borderId="44" xfId="0" applyBorder="1" applyAlignment="1">
      <alignment horizontal="center" wrapText="1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0" borderId="19" xfId="50" applyFont="1" applyBorder="1">
      <alignment/>
      <protection/>
    </xf>
    <xf numFmtId="3" fontId="0" fillId="0" borderId="26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45" xfId="0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4" borderId="49" xfId="0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44" xfId="0" applyNumberFormat="1" applyFill="1" applyBorder="1" applyAlignment="1">
      <alignment/>
    </xf>
    <xf numFmtId="3" fontId="0" fillId="24" borderId="50" xfId="0" applyNumberFormat="1" applyFill="1" applyBorder="1" applyAlignment="1">
      <alignment/>
    </xf>
    <xf numFmtId="3" fontId="0" fillId="24" borderId="5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37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24" borderId="26" xfId="0" applyNumberFormat="1" applyFill="1" applyBorder="1" applyAlignment="1">
      <alignment/>
    </xf>
    <xf numFmtId="0" fontId="6" fillId="0" borderId="52" xfId="0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24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0" fontId="2" fillId="0" borderId="0" xfId="50">
      <alignment/>
      <protection/>
    </xf>
    <xf numFmtId="0" fontId="13" fillId="0" borderId="0" xfId="50" applyFont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50" applyFont="1">
      <alignment/>
      <protection/>
    </xf>
    <xf numFmtId="0" fontId="2" fillId="0" borderId="0" xfId="50" applyAlignment="1">
      <alignment horizontal="right"/>
      <protection/>
    </xf>
    <xf numFmtId="0" fontId="2" fillId="0" borderId="0" xfId="50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5" fillId="0" borderId="29" xfId="50" applyFont="1" applyBorder="1" applyAlignment="1">
      <alignment horizontal="center" vertical="center" wrapText="1"/>
      <protection/>
    </xf>
    <xf numFmtId="0" fontId="5" fillId="0" borderId="53" xfId="50" applyFont="1" applyBorder="1" applyAlignment="1">
      <alignment horizontal="center" vertical="center" wrapText="1"/>
      <protection/>
    </xf>
    <xf numFmtId="0" fontId="5" fillId="0" borderId="54" xfId="50" applyFont="1" applyBorder="1" applyAlignment="1">
      <alignment horizontal="center" vertical="center" wrapText="1"/>
      <protection/>
    </xf>
    <xf numFmtId="0" fontId="2" fillId="0" borderId="55" xfId="50" applyBorder="1">
      <alignment/>
      <protection/>
    </xf>
    <xf numFmtId="0" fontId="5" fillId="0" borderId="13" xfId="50" applyFont="1" applyBorder="1" applyAlignment="1">
      <alignment horizontal="center"/>
      <protection/>
    </xf>
    <xf numFmtId="0" fontId="5" fillId="0" borderId="56" xfId="50" applyFont="1" applyBorder="1" applyAlignment="1">
      <alignment horizontal="center"/>
      <protection/>
    </xf>
    <xf numFmtId="0" fontId="5" fillId="0" borderId="54" xfId="50" applyFont="1" applyBorder="1" applyAlignment="1">
      <alignment horizontal="center"/>
      <protection/>
    </xf>
    <xf numFmtId="0" fontId="5" fillId="0" borderId="35" xfId="50" applyFont="1" applyFill="1" applyBorder="1">
      <alignment/>
      <protection/>
    </xf>
    <xf numFmtId="1" fontId="2" fillId="0" borderId="57" xfId="50" applyNumberFormat="1" applyFont="1" applyFill="1" applyBorder="1">
      <alignment/>
      <protection/>
    </xf>
    <xf numFmtId="1" fontId="2" fillId="0" borderId="17" xfId="50" applyNumberFormat="1" applyFont="1" applyFill="1" applyBorder="1">
      <alignment/>
      <protection/>
    </xf>
    <xf numFmtId="173" fontId="5" fillId="0" borderId="21" xfId="50" applyNumberFormat="1" applyFont="1" applyFill="1" applyBorder="1">
      <alignment/>
      <protection/>
    </xf>
    <xf numFmtId="0" fontId="5" fillId="0" borderId="37" xfId="50" applyFont="1" applyFill="1" applyBorder="1">
      <alignment/>
      <protection/>
    </xf>
    <xf numFmtId="1" fontId="2" fillId="0" borderId="38" xfId="50" applyNumberFormat="1" applyFont="1" applyFill="1" applyBorder="1">
      <alignment/>
      <protection/>
    </xf>
    <xf numFmtId="1" fontId="2" fillId="0" borderId="20" xfId="50" applyNumberFormat="1" applyFont="1" applyFill="1" applyBorder="1">
      <alignment/>
      <protection/>
    </xf>
    <xf numFmtId="0" fontId="5" fillId="0" borderId="37" xfId="50" applyFont="1" applyBorder="1">
      <alignment/>
      <protection/>
    </xf>
    <xf numFmtId="1" fontId="2" fillId="0" borderId="38" xfId="50" applyNumberFormat="1" applyFont="1" applyBorder="1">
      <alignment/>
      <protection/>
    </xf>
    <xf numFmtId="1" fontId="2" fillId="0" borderId="20" xfId="50" applyNumberFormat="1" applyFont="1" applyBorder="1">
      <alignment/>
      <protection/>
    </xf>
    <xf numFmtId="0" fontId="5" fillId="0" borderId="37" xfId="50" applyFont="1" applyBorder="1">
      <alignment/>
      <protection/>
    </xf>
    <xf numFmtId="0" fontId="6" fillId="0" borderId="37" xfId="0" applyFont="1" applyBorder="1" applyAlignment="1">
      <alignment/>
    </xf>
    <xf numFmtId="1" fontId="2" fillId="0" borderId="39" xfId="50" applyNumberFormat="1" applyFont="1" applyBorder="1">
      <alignment/>
      <protection/>
    </xf>
    <xf numFmtId="1" fontId="2" fillId="0" borderId="23" xfId="50" applyNumberFormat="1" applyFont="1" applyBorder="1">
      <alignment/>
      <protection/>
    </xf>
    <xf numFmtId="0" fontId="6" fillId="0" borderId="40" xfId="0" applyFont="1" applyBorder="1" applyAlignment="1">
      <alignment/>
    </xf>
    <xf numFmtId="173" fontId="5" fillId="0" borderId="24" xfId="50" applyNumberFormat="1" applyFont="1" applyFill="1" applyBorder="1">
      <alignment/>
      <protection/>
    </xf>
    <xf numFmtId="0" fontId="5" fillId="0" borderId="10" xfId="50" applyFont="1" applyBorder="1">
      <alignment/>
      <protection/>
    </xf>
    <xf numFmtId="1" fontId="4" fillId="0" borderId="29" xfId="50" applyNumberFormat="1" applyFont="1" applyBorder="1">
      <alignment/>
      <protection/>
    </xf>
    <xf numFmtId="1" fontId="4" fillId="0" borderId="53" xfId="50" applyNumberFormat="1" applyFont="1" applyBorder="1">
      <alignment/>
      <protection/>
    </xf>
    <xf numFmtId="173" fontId="4" fillId="0" borderId="54" xfId="50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50" applyFont="1">
      <alignment/>
      <protection/>
    </xf>
    <xf numFmtId="0" fontId="4" fillId="0" borderId="10" xfId="50" applyFont="1" applyBorder="1">
      <alignment/>
      <protection/>
    </xf>
    <xf numFmtId="0" fontId="16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5" xfId="0" applyFill="1" applyBorder="1" applyAlignment="1">
      <alignment horizontal="center" textRotation="90" wrapText="1"/>
    </xf>
    <xf numFmtId="0" fontId="0" fillId="0" borderId="58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24" borderId="60" xfId="0" applyFill="1" applyBorder="1" applyAlignment="1">
      <alignment horizontal="center" vertical="top" wrapText="1"/>
    </xf>
    <xf numFmtId="0" fontId="0" fillId="24" borderId="52" xfId="0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wrapText="1"/>
    </xf>
    <xf numFmtId="3" fontId="0" fillId="0" borderId="44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24" borderId="32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49" xfId="0" applyNumberFormat="1" applyFill="1" applyBorder="1" applyAlignment="1">
      <alignment/>
    </xf>
    <xf numFmtId="3" fontId="0" fillId="24" borderId="49" xfId="0" applyNumberFormat="1" applyFill="1" applyBorder="1" applyAlignment="1">
      <alignment/>
    </xf>
    <xf numFmtId="4" fontId="0" fillId="0" borderId="4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wrapText="1"/>
    </xf>
    <xf numFmtId="3" fontId="0" fillId="0" borderId="33" xfId="0" applyNumberFormat="1" applyBorder="1" applyAlignment="1">
      <alignment/>
    </xf>
    <xf numFmtId="3" fontId="0" fillId="24" borderId="33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3" fontId="0" fillId="24" borderId="61" xfId="0" applyNumberFormat="1" applyFill="1" applyBorder="1" applyAlignment="1">
      <alignment/>
    </xf>
    <xf numFmtId="0" fontId="6" fillId="19" borderId="62" xfId="0" applyFont="1" applyFill="1" applyBorder="1" applyAlignment="1">
      <alignment horizontal="left"/>
    </xf>
    <xf numFmtId="0" fontId="6" fillId="19" borderId="54" xfId="0" applyFont="1" applyFill="1" applyBorder="1" applyAlignment="1">
      <alignment wrapText="1"/>
    </xf>
    <xf numFmtId="3" fontId="6" fillId="19" borderId="10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3" fontId="6" fillId="19" borderId="53" xfId="0" applyNumberFormat="1" applyFont="1" applyFill="1" applyBorder="1" applyAlignment="1">
      <alignment/>
    </xf>
    <xf numFmtId="4" fontId="6" fillId="19" borderId="54" xfId="0" applyNumberFormat="1" applyFont="1" applyFill="1" applyBorder="1" applyAlignment="1">
      <alignment/>
    </xf>
    <xf numFmtId="0" fontId="0" fillId="24" borderId="58" xfId="0" applyFont="1" applyFill="1" applyBorder="1" applyAlignment="1">
      <alignment horizontal="left"/>
    </xf>
    <xf numFmtId="3" fontId="0" fillId="24" borderId="63" xfId="0" applyNumberFormat="1" applyFont="1" applyFill="1" applyBorder="1" applyAlignment="1">
      <alignment/>
    </xf>
    <xf numFmtId="3" fontId="0" fillId="24" borderId="64" xfId="0" applyNumberFormat="1" applyFont="1" applyFill="1" applyBorder="1" applyAlignment="1">
      <alignment/>
    </xf>
    <xf numFmtId="3" fontId="0" fillId="24" borderId="30" xfId="0" applyNumberFormat="1" applyFont="1" applyFill="1" applyBorder="1" applyAlignment="1">
      <alignment/>
    </xf>
    <xf numFmtId="3" fontId="0" fillId="24" borderId="65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3" fontId="6" fillId="19" borderId="66" xfId="0" applyNumberFormat="1" applyFont="1" applyFill="1" applyBorder="1" applyAlignment="1">
      <alignment/>
    </xf>
    <xf numFmtId="3" fontId="6" fillId="19" borderId="67" xfId="0" applyNumberFormat="1" applyFont="1" applyFill="1" applyBorder="1" applyAlignment="1">
      <alignment/>
    </xf>
    <xf numFmtId="0" fontId="0" fillId="0" borderId="51" xfId="0" applyFill="1" applyBorder="1" applyAlignment="1">
      <alignment horizontal="left"/>
    </xf>
    <xf numFmtId="0" fontId="0" fillId="0" borderId="50" xfId="0" applyFill="1" applyBorder="1" applyAlignment="1">
      <alignment wrapText="1"/>
    </xf>
    <xf numFmtId="3" fontId="0" fillId="0" borderId="20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3" fontId="6" fillId="19" borderId="54" xfId="0" applyNumberFormat="1" applyFont="1" applyFill="1" applyBorder="1" applyAlignment="1">
      <alignment/>
    </xf>
    <xf numFmtId="0" fontId="0" fillId="24" borderId="62" xfId="0" applyFont="1" applyFill="1" applyBorder="1" applyAlignment="1">
      <alignment horizontal="left"/>
    </xf>
    <xf numFmtId="0" fontId="0" fillId="24" borderId="54" xfId="0" applyFont="1" applyFill="1" applyBorder="1" applyAlignment="1">
      <alignment wrapText="1"/>
    </xf>
    <xf numFmtId="3" fontId="0" fillId="24" borderId="53" xfId="0" applyNumberFormat="1" applyFont="1" applyFill="1" applyBorder="1" applyAlignment="1">
      <alignment/>
    </xf>
    <xf numFmtId="3" fontId="0" fillId="24" borderId="66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67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6" fillId="0" borderId="62" xfId="0" applyFont="1" applyFill="1" applyBorder="1" applyAlignment="1">
      <alignment horizontal="left"/>
    </xf>
    <xf numFmtId="0" fontId="16" fillId="0" borderId="54" xfId="0" applyFont="1" applyFill="1" applyBorder="1" applyAlignment="1">
      <alignment wrapText="1"/>
    </xf>
    <xf numFmtId="3" fontId="16" fillId="0" borderId="53" xfId="0" applyNumberFormat="1" applyFont="1" applyFill="1" applyBorder="1" applyAlignment="1">
      <alignment/>
    </xf>
    <xf numFmtId="4" fontId="16" fillId="0" borderId="53" xfId="0" applyNumberFormat="1" applyFont="1" applyFill="1" applyBorder="1" applyAlignment="1">
      <alignment/>
    </xf>
    <xf numFmtId="2" fontId="2" fillId="0" borderId="20" xfId="47" applyNumberFormat="1" applyBorder="1">
      <alignment/>
      <protection/>
    </xf>
    <xf numFmtId="2" fontId="2" fillId="24" borderId="20" xfId="47" applyNumberFormat="1" applyFill="1" applyBorder="1">
      <alignment/>
      <protection/>
    </xf>
    <xf numFmtId="2" fontId="2" fillId="24" borderId="23" xfId="47" applyNumberFormat="1" applyFill="1" applyBorder="1">
      <alignment/>
      <protection/>
    </xf>
    <xf numFmtId="176" fontId="2" fillId="0" borderId="20" xfId="47" applyNumberFormat="1" applyBorder="1">
      <alignment/>
      <protection/>
    </xf>
    <xf numFmtId="3" fontId="0" fillId="0" borderId="68" xfId="0" applyNumberFormat="1" applyFont="1" applyFill="1" applyBorder="1" applyAlignment="1">
      <alignment/>
    </xf>
    <xf numFmtId="3" fontId="0" fillId="24" borderId="69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19" borderId="29" xfId="0" applyFill="1" applyBorder="1" applyAlignment="1">
      <alignment/>
    </xf>
    <xf numFmtId="0" fontId="0" fillId="19" borderId="54" xfId="0" applyFill="1" applyBorder="1" applyAlignment="1">
      <alignment wrapText="1"/>
    </xf>
    <xf numFmtId="2" fontId="2" fillId="0" borderId="17" xfId="47" applyNumberFormat="1" applyBorder="1">
      <alignment/>
      <protection/>
    </xf>
    <xf numFmtId="2" fontId="2" fillId="0" borderId="23" xfId="47" applyNumberFormat="1" applyBorder="1">
      <alignment/>
      <protection/>
    </xf>
    <xf numFmtId="0" fontId="5" fillId="0" borderId="35" xfId="47" applyFont="1" applyBorder="1" applyAlignment="1">
      <alignment horizontal="center"/>
      <protection/>
    </xf>
    <xf numFmtId="4" fontId="2" fillId="0" borderId="20" xfId="47" applyNumberFormat="1" applyFont="1" applyFill="1" applyBorder="1">
      <alignment/>
      <protection/>
    </xf>
    <xf numFmtId="0" fontId="0" fillId="0" borderId="59" xfId="0" applyFont="1" applyFill="1" applyBorder="1" applyAlignment="1">
      <alignment wrapText="1"/>
    </xf>
    <xf numFmtId="3" fontId="4" fillId="0" borderId="29" xfId="50" applyNumberFormat="1" applyFont="1" applyBorder="1">
      <alignment/>
      <protection/>
    </xf>
    <xf numFmtId="3" fontId="4" fillId="0" borderId="53" xfId="50" applyNumberFormat="1" applyFont="1" applyBorder="1">
      <alignment/>
      <protection/>
    </xf>
    <xf numFmtId="4" fontId="2" fillId="0" borderId="20" xfId="47" applyNumberFormat="1" applyFill="1" applyBorder="1">
      <alignment/>
      <protection/>
    </xf>
    <xf numFmtId="2" fontId="2" fillId="0" borderId="20" xfId="47" applyNumberFormat="1" applyFill="1" applyBorder="1">
      <alignment/>
      <protection/>
    </xf>
    <xf numFmtId="177" fontId="2" fillId="0" borderId="26" xfId="47" applyNumberFormat="1" applyBorder="1" applyAlignment="1">
      <alignment horizontal="right"/>
      <protection/>
    </xf>
    <xf numFmtId="0" fontId="5" fillId="0" borderId="19" xfId="47" applyFont="1" applyFill="1" applyBorder="1">
      <alignment/>
      <protection/>
    </xf>
    <xf numFmtId="0" fontId="0" fillId="24" borderId="32" xfId="0" applyFill="1" applyBorder="1" applyAlignment="1">
      <alignment horizontal="center" textRotation="90" wrapText="1"/>
    </xf>
    <xf numFmtId="0" fontId="5" fillId="0" borderId="57" xfId="47" applyFont="1" applyBorder="1">
      <alignment/>
      <protection/>
    </xf>
    <xf numFmtId="0" fontId="5" fillId="24" borderId="38" xfId="47" applyFont="1" applyFill="1" applyBorder="1">
      <alignment/>
      <protection/>
    </xf>
    <xf numFmtId="0" fontId="5" fillId="24" borderId="39" xfId="47" applyFont="1" applyFill="1" applyBorder="1">
      <alignment/>
      <protection/>
    </xf>
    <xf numFmtId="0" fontId="5" fillId="24" borderId="29" xfId="47" applyFont="1" applyFill="1" applyBorder="1">
      <alignment/>
      <protection/>
    </xf>
    <xf numFmtId="0" fontId="2" fillId="0" borderId="35" xfId="47" applyBorder="1" applyAlignment="1">
      <alignment horizontal="center"/>
      <protection/>
    </xf>
    <xf numFmtId="0" fontId="2" fillId="0" borderId="37" xfId="47" applyBorder="1" applyAlignment="1">
      <alignment horizontal="center"/>
      <protection/>
    </xf>
    <xf numFmtId="0" fontId="2" fillId="24" borderId="37" xfId="47" applyFill="1" applyBorder="1" applyAlignment="1">
      <alignment horizontal="center"/>
      <protection/>
    </xf>
    <xf numFmtId="4" fontId="2" fillId="0" borderId="36" xfId="47" applyNumberFormat="1" applyFont="1" applyBorder="1">
      <alignment/>
      <protection/>
    </xf>
    <xf numFmtId="4" fontId="2" fillId="0" borderId="26" xfId="47" applyNumberFormat="1" applyFont="1" applyBorder="1">
      <alignment/>
      <protection/>
    </xf>
    <xf numFmtId="4" fontId="5" fillId="0" borderId="27" xfId="47" applyNumberFormat="1" applyFont="1" applyBorder="1">
      <alignment/>
      <protection/>
    </xf>
    <xf numFmtId="0" fontId="2" fillId="0" borderId="70" xfId="47" applyBorder="1">
      <alignment/>
      <protection/>
    </xf>
    <xf numFmtId="0" fontId="2" fillId="0" borderId="71" xfId="47" applyBorder="1">
      <alignment/>
      <protection/>
    </xf>
    <xf numFmtId="1" fontId="2" fillId="25" borderId="57" xfId="50" applyNumberFormat="1" applyFont="1" applyFill="1" applyBorder="1">
      <alignment/>
      <protection/>
    </xf>
    <xf numFmtId="0" fontId="5" fillId="16" borderId="62" xfId="0" applyFont="1" applyFill="1" applyBorder="1" applyAlignment="1">
      <alignment horizontal="center"/>
    </xf>
    <xf numFmtId="0" fontId="5" fillId="16" borderId="53" xfId="0" applyFont="1" applyFill="1" applyBorder="1" applyAlignment="1">
      <alignment/>
    </xf>
    <xf numFmtId="0" fontId="5" fillId="16" borderId="53" xfId="0" applyFont="1" applyFill="1" applyBorder="1" applyAlignment="1">
      <alignment horizontal="center"/>
    </xf>
    <xf numFmtId="0" fontId="5" fillId="16" borderId="67" xfId="0" applyFont="1" applyFill="1" applyBorder="1" applyAlignment="1">
      <alignment horizontal="center"/>
    </xf>
    <xf numFmtId="0" fontId="5" fillId="16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2" fillId="19" borderId="62" xfId="0" applyFont="1" applyFill="1" applyBorder="1" applyAlignment="1">
      <alignment horizontal="center"/>
    </xf>
    <xf numFmtId="0" fontId="2" fillId="19" borderId="53" xfId="0" applyFont="1" applyFill="1" applyBorder="1" applyAlignment="1">
      <alignment/>
    </xf>
    <xf numFmtId="0" fontId="2" fillId="19" borderId="53" xfId="0" applyFont="1" applyFill="1" applyBorder="1" applyAlignment="1">
      <alignment horizontal="center"/>
    </xf>
    <xf numFmtId="3" fontId="5" fillId="19" borderId="67" xfId="0" applyNumberFormat="1" applyFont="1" applyFill="1" applyBorder="1" applyAlignment="1">
      <alignment/>
    </xf>
    <xf numFmtId="3" fontId="5" fillId="19" borderId="54" xfId="0" applyNumberFormat="1" applyFont="1" applyFill="1" applyBorder="1" applyAlignment="1">
      <alignment/>
    </xf>
    <xf numFmtId="0" fontId="2" fillId="16" borderId="62" xfId="0" applyFont="1" applyFill="1" applyBorder="1" applyAlignment="1">
      <alignment horizontal="center"/>
    </xf>
    <xf numFmtId="0" fontId="2" fillId="16" borderId="53" xfId="0" applyFont="1" applyFill="1" applyBorder="1" applyAlignment="1">
      <alignment/>
    </xf>
    <xf numFmtId="0" fontId="2" fillId="16" borderId="53" xfId="0" applyFont="1" applyFill="1" applyBorder="1" applyAlignment="1">
      <alignment horizontal="center"/>
    </xf>
    <xf numFmtId="3" fontId="5" fillId="16" borderId="67" xfId="0" applyNumberFormat="1" applyFont="1" applyFill="1" applyBorder="1" applyAlignment="1">
      <alignment/>
    </xf>
    <xf numFmtId="3" fontId="5" fillId="16" borderId="54" xfId="0" applyNumberFormat="1" applyFont="1" applyFill="1" applyBorder="1" applyAlignment="1">
      <alignment/>
    </xf>
    <xf numFmtId="0" fontId="9" fillId="26" borderId="45" xfId="0" applyFont="1" applyFill="1" applyBorder="1" applyAlignment="1">
      <alignment horizontal="center"/>
    </xf>
    <xf numFmtId="0" fontId="9" fillId="26" borderId="46" xfId="0" applyFont="1" applyFill="1" applyBorder="1" applyAlignment="1">
      <alignment/>
    </xf>
    <xf numFmtId="0" fontId="9" fillId="26" borderId="46" xfId="0" applyFont="1" applyFill="1" applyBorder="1" applyAlignment="1">
      <alignment horizontal="center"/>
    </xf>
    <xf numFmtId="3" fontId="10" fillId="26" borderId="48" xfId="0" applyNumberFormat="1" applyFont="1" applyFill="1" applyBorder="1" applyAlignment="1">
      <alignment/>
    </xf>
    <xf numFmtId="3" fontId="10" fillId="26" borderId="47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19" borderId="53" xfId="0" applyNumberFormat="1" applyFont="1" applyFill="1" applyBorder="1" applyAlignment="1">
      <alignment/>
    </xf>
    <xf numFmtId="3" fontId="5" fillId="16" borderId="53" xfId="0" applyNumberFormat="1" applyFont="1" applyFill="1" applyBorder="1" applyAlignment="1">
      <alignment/>
    </xf>
    <xf numFmtId="3" fontId="10" fillId="26" borderId="46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1" fontId="2" fillId="25" borderId="38" xfId="50" applyNumberFormat="1" applyFont="1" applyFill="1" applyBorder="1">
      <alignment/>
      <protection/>
    </xf>
    <xf numFmtId="1" fontId="2" fillId="25" borderId="39" xfId="50" applyNumberFormat="1" applyFont="1" applyFill="1" applyBorder="1">
      <alignment/>
      <protection/>
    </xf>
    <xf numFmtId="0" fontId="0" fillId="10" borderId="35" xfId="0" applyFill="1" applyBorder="1" applyAlignment="1">
      <alignment horizontal="center" textRotation="90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wrapText="1"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/>
    </xf>
    <xf numFmtId="0" fontId="2" fillId="10" borderId="20" xfId="0" applyFont="1" applyFill="1" applyBorder="1" applyAlignment="1">
      <alignment horizontal="center"/>
    </xf>
    <xf numFmtId="3" fontId="2" fillId="10" borderId="26" xfId="0" applyNumberFormat="1" applyFont="1" applyFill="1" applyBorder="1" applyAlignment="1">
      <alignment/>
    </xf>
    <xf numFmtId="3" fontId="2" fillId="10" borderId="21" xfId="0" applyNumberFormat="1" applyFont="1" applyFill="1" applyBorder="1" applyAlignment="1">
      <alignment/>
    </xf>
    <xf numFmtId="0" fontId="2" fillId="10" borderId="0" xfId="48" applyFill="1">
      <alignment/>
      <protection/>
    </xf>
    <xf numFmtId="0" fontId="5" fillId="4" borderId="53" xfId="50" applyFont="1" applyFill="1" applyBorder="1" applyAlignment="1">
      <alignment horizontal="center" vertical="center" wrapText="1"/>
      <protection/>
    </xf>
    <xf numFmtId="0" fontId="5" fillId="4" borderId="56" xfId="50" applyFont="1" applyFill="1" applyBorder="1" applyAlignment="1">
      <alignment horizontal="center"/>
      <protection/>
    </xf>
    <xf numFmtId="1" fontId="2" fillId="4" borderId="17" xfId="50" applyNumberFormat="1" applyFont="1" applyFill="1" applyBorder="1">
      <alignment/>
      <protection/>
    </xf>
    <xf numFmtId="1" fontId="2" fillId="4" borderId="20" xfId="50" applyNumberFormat="1" applyFont="1" applyFill="1" applyBorder="1">
      <alignment/>
      <protection/>
    </xf>
    <xf numFmtId="1" fontId="2" fillId="4" borderId="23" xfId="50" applyNumberFormat="1" applyFont="1" applyFill="1" applyBorder="1">
      <alignment/>
      <protection/>
    </xf>
    <xf numFmtId="1" fontId="4" fillId="4" borderId="53" xfId="50" applyNumberFormat="1" applyFont="1" applyFill="1" applyBorder="1">
      <alignment/>
      <protection/>
    </xf>
    <xf numFmtId="3" fontId="0" fillId="0" borderId="61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49" xfId="0" applyNumberFormat="1" applyFill="1" applyBorder="1" applyAlignment="1">
      <alignment/>
    </xf>
    <xf numFmtId="0" fontId="6" fillId="10" borderId="62" xfId="0" applyFont="1" applyFill="1" applyBorder="1" applyAlignment="1">
      <alignment horizontal="left"/>
    </xf>
    <xf numFmtId="0" fontId="6" fillId="10" borderId="54" xfId="0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24" borderId="72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3" fontId="0" fillId="10" borderId="62" xfId="0" applyNumberFormat="1" applyFill="1" applyBorder="1" applyAlignment="1">
      <alignment/>
    </xf>
    <xf numFmtId="3" fontId="0" fillId="10" borderId="53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3" fontId="0" fillId="10" borderId="66" xfId="0" applyNumberFormat="1" applyFill="1" applyBorder="1" applyAlignment="1">
      <alignment/>
    </xf>
    <xf numFmtId="4" fontId="0" fillId="10" borderId="53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24" borderId="34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4" fontId="0" fillId="0" borderId="40" xfId="0" applyNumberFormat="1" applyBorder="1" applyAlignment="1">
      <alignment/>
    </xf>
    <xf numFmtId="3" fontId="0" fillId="10" borderId="67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42" xfId="0" applyNumberFormat="1" applyBorder="1" applyAlignment="1">
      <alignment/>
    </xf>
    <xf numFmtId="4" fontId="0" fillId="0" borderId="55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0" fontId="16" fillId="0" borderId="54" xfId="0" applyFont="1" applyFill="1" applyBorder="1" applyAlignment="1">
      <alignment/>
    </xf>
    <xf numFmtId="0" fontId="15" fillId="0" borderId="10" xfId="50" applyFont="1" applyBorder="1" applyAlignment="1">
      <alignment horizontal="center" vertical="center" wrapText="1"/>
      <protection/>
    </xf>
    <xf numFmtId="0" fontId="15" fillId="0" borderId="29" xfId="50" applyFont="1" applyBorder="1" applyAlignment="1">
      <alignment horizontal="center" vertical="center" wrapText="1"/>
      <protection/>
    </xf>
    <xf numFmtId="0" fontId="15" fillId="0" borderId="53" xfId="50" applyFont="1" applyBorder="1" applyAlignment="1">
      <alignment horizontal="center" vertical="center" wrapText="1"/>
      <protection/>
    </xf>
    <xf numFmtId="0" fontId="15" fillId="0" borderId="54" xfId="50" applyFont="1" applyBorder="1" applyAlignment="1">
      <alignment horizontal="center" vertical="center" wrapText="1"/>
      <protection/>
    </xf>
    <xf numFmtId="0" fontId="14" fillId="0" borderId="55" xfId="50" applyFont="1" applyBorder="1">
      <alignment/>
      <protection/>
    </xf>
    <xf numFmtId="0" fontId="15" fillId="0" borderId="13" xfId="50" applyFont="1" applyBorder="1" applyAlignment="1">
      <alignment horizontal="center"/>
      <protection/>
    </xf>
    <xf numFmtId="0" fontId="15" fillId="0" borderId="56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35" xfId="50" applyFont="1" applyFill="1" applyBorder="1">
      <alignment/>
      <protection/>
    </xf>
    <xf numFmtId="3" fontId="14" fillId="0" borderId="17" xfId="50" applyNumberFormat="1" applyFont="1" applyFill="1" applyBorder="1">
      <alignment/>
      <protection/>
    </xf>
    <xf numFmtId="173" fontId="15" fillId="0" borderId="21" xfId="50" applyNumberFormat="1" applyFont="1" applyFill="1" applyBorder="1">
      <alignment/>
      <protection/>
    </xf>
    <xf numFmtId="0" fontId="15" fillId="0" borderId="37" xfId="50" applyFont="1" applyFill="1" applyBorder="1">
      <alignment/>
      <protection/>
    </xf>
    <xf numFmtId="3" fontId="14" fillId="0" borderId="38" xfId="50" applyNumberFormat="1" applyFont="1" applyFill="1" applyBorder="1">
      <alignment/>
      <protection/>
    </xf>
    <xf numFmtId="3" fontId="14" fillId="0" borderId="20" xfId="50" applyNumberFormat="1" applyFont="1" applyFill="1" applyBorder="1">
      <alignment/>
      <protection/>
    </xf>
    <xf numFmtId="0" fontId="15" fillId="0" borderId="37" xfId="50" applyFont="1" applyBorder="1">
      <alignment/>
      <protection/>
    </xf>
    <xf numFmtId="3" fontId="14" fillId="0" borderId="38" xfId="50" applyNumberFormat="1" applyFont="1" applyBorder="1">
      <alignment/>
      <protection/>
    </xf>
    <xf numFmtId="3" fontId="14" fillId="0" borderId="20" xfId="50" applyNumberFormat="1" applyFont="1" applyBorder="1">
      <alignment/>
      <protection/>
    </xf>
    <xf numFmtId="0" fontId="15" fillId="0" borderId="37" xfId="50" applyFont="1" applyBorder="1">
      <alignment/>
      <protection/>
    </xf>
    <xf numFmtId="0" fontId="34" fillId="0" borderId="37" xfId="0" applyFont="1" applyBorder="1" applyAlignment="1">
      <alignment/>
    </xf>
    <xf numFmtId="3" fontId="14" fillId="0" borderId="39" xfId="50" applyNumberFormat="1" applyFont="1" applyBorder="1">
      <alignment/>
      <protection/>
    </xf>
    <xf numFmtId="3" fontId="14" fillId="0" borderId="23" xfId="50" applyNumberFormat="1" applyFont="1" applyBorder="1">
      <alignment/>
      <protection/>
    </xf>
    <xf numFmtId="0" fontId="34" fillId="0" borderId="40" xfId="0" applyFont="1" applyBorder="1" applyAlignment="1">
      <alignment/>
    </xf>
    <xf numFmtId="173" fontId="15" fillId="0" borderId="24" xfId="50" applyNumberFormat="1" applyFont="1" applyFill="1" applyBorder="1">
      <alignment/>
      <protection/>
    </xf>
    <xf numFmtId="0" fontId="0" fillId="25" borderId="51" xfId="0" applyFill="1" applyBorder="1" applyAlignment="1">
      <alignment horizontal="left"/>
    </xf>
    <xf numFmtId="0" fontId="0" fillId="25" borderId="19" xfId="0" applyFill="1" applyBorder="1" applyAlignment="1">
      <alignment horizontal="left"/>
    </xf>
    <xf numFmtId="0" fontId="0" fillId="25" borderId="21" xfId="0" applyFill="1" applyBorder="1" applyAlignment="1">
      <alignment wrapText="1"/>
    </xf>
    <xf numFmtId="3" fontId="0" fillId="25" borderId="20" xfId="0" applyNumberFormat="1" applyFill="1" applyBorder="1" applyAlignment="1">
      <alignment/>
    </xf>
    <xf numFmtId="3" fontId="0" fillId="25" borderId="37" xfId="0" applyNumberFormat="1" applyFill="1" applyBorder="1" applyAlignment="1">
      <alignment/>
    </xf>
    <xf numFmtId="3" fontId="0" fillId="25" borderId="33" xfId="0" applyNumberFormat="1" applyFill="1" applyBorder="1" applyAlignment="1">
      <alignment/>
    </xf>
    <xf numFmtId="4" fontId="0" fillId="25" borderId="20" xfId="0" applyNumberFormat="1" applyFill="1" applyBorder="1" applyAlignment="1">
      <alignment/>
    </xf>
    <xf numFmtId="3" fontId="14" fillId="0" borderId="57" xfId="50" applyNumberFormat="1" applyFont="1" applyFill="1" applyBorder="1">
      <alignment/>
      <protection/>
    </xf>
    <xf numFmtId="0" fontId="5" fillId="0" borderId="27" xfId="47" applyFont="1" applyBorder="1" applyAlignment="1">
      <alignment horizontal="center" vertical="center" wrapText="1"/>
      <protection/>
    </xf>
    <xf numFmtId="0" fontId="5" fillId="0" borderId="67" xfId="47" applyFont="1" applyBorder="1" applyAlignment="1">
      <alignment horizontal="center" vertical="center" wrapText="1"/>
      <protection/>
    </xf>
    <xf numFmtId="4" fontId="5" fillId="0" borderId="19" xfId="47" applyNumberFormat="1" applyFont="1" applyFill="1" applyBorder="1">
      <alignment/>
      <protection/>
    </xf>
    <xf numFmtId="0" fontId="5" fillId="0" borderId="11" xfId="47" applyFont="1" applyFill="1" applyBorder="1">
      <alignment/>
      <protection/>
    </xf>
    <xf numFmtId="0" fontId="5" fillId="25" borderId="11" xfId="47" applyFont="1" applyFill="1" applyBorder="1" applyAlignment="1">
      <alignment horizontal="center" vertical="center" wrapText="1"/>
      <protection/>
    </xf>
    <xf numFmtId="0" fontId="6" fillId="25" borderId="29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4" fontId="2" fillId="0" borderId="23" xfId="47" applyNumberFormat="1" applyFill="1" applyBorder="1">
      <alignment/>
      <protection/>
    </xf>
    <xf numFmtId="1" fontId="0" fillId="0" borderId="0" xfId="0" applyNumberFormat="1" applyFill="1" applyAlignment="1">
      <alignment/>
    </xf>
    <xf numFmtId="0" fontId="2" fillId="0" borderId="37" xfId="50" applyFont="1" applyFill="1" applyBorder="1">
      <alignment/>
      <protection/>
    </xf>
    <xf numFmtId="3" fontId="0" fillId="0" borderId="26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4" fontId="5" fillId="0" borderId="10" xfId="47" applyNumberFormat="1" applyFont="1" applyFill="1" applyBorder="1">
      <alignment/>
      <protection/>
    </xf>
    <xf numFmtId="0" fontId="2" fillId="0" borderId="0" xfId="47" applyFill="1">
      <alignment/>
      <protection/>
    </xf>
    <xf numFmtId="0" fontId="5" fillId="0" borderId="14" xfId="47" applyFont="1" applyFill="1" applyBorder="1" applyAlignment="1">
      <alignment horizontal="center"/>
      <protection/>
    </xf>
    <xf numFmtId="4" fontId="2" fillId="0" borderId="17" xfId="47" applyNumberFormat="1" applyFill="1" applyBorder="1">
      <alignment/>
      <protection/>
    </xf>
    <xf numFmtId="0" fontId="0" fillId="0" borderId="57" xfId="0" applyBorder="1" applyAlignment="1">
      <alignment/>
    </xf>
    <xf numFmtId="0" fontId="0" fillId="0" borderId="73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ndy" xfId="47"/>
    <cellStyle name="normální_HV suma" xfId="48"/>
    <cellStyle name="normální_MP2002" xfId="49"/>
    <cellStyle name="normální_OBV" xfId="50"/>
    <cellStyle name="normální_tab PO" xfId="51"/>
    <cellStyle name="normální_Vysledovka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91"/>
  <sheetViews>
    <sheetView tabSelected="1" zoomScale="80" zoomScaleNormal="80" workbookViewId="0" topLeftCell="A1">
      <pane xSplit="2" ySplit="4" topLeftCell="C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0.421875" style="0" customWidth="1"/>
    <col min="2" max="2" width="35.00390625" style="0" customWidth="1"/>
    <col min="3" max="5" width="9.57421875" style="0" bestFit="1" customWidth="1"/>
    <col min="6" max="6" width="8.28125" style="0" bestFit="1" customWidth="1"/>
    <col min="7" max="7" width="7.00390625" style="0" bestFit="1" customWidth="1"/>
    <col min="8" max="8" width="9.57421875" style="0" bestFit="1" customWidth="1"/>
    <col min="9" max="9" width="8.28125" style="183" bestFit="1" customWidth="1"/>
    <col min="10" max="11" width="9.57421875" style="0" bestFit="1" customWidth="1"/>
    <col min="12" max="12" width="9.57421875" style="0" customWidth="1"/>
    <col min="13" max="13" width="9.57421875" style="183" customWidth="1"/>
    <col min="14" max="14" width="9.7109375" style="0" customWidth="1"/>
    <col min="15" max="15" width="8.28125" style="0" bestFit="1" customWidth="1"/>
    <col min="16" max="17" width="10.421875" style="0" bestFit="1" customWidth="1"/>
  </cols>
  <sheetData>
    <row r="1" spans="1:14" ht="15.75">
      <c r="A1" s="182" t="s">
        <v>460</v>
      </c>
      <c r="I1"/>
      <c r="N1" s="182" t="s">
        <v>488</v>
      </c>
    </row>
    <row r="2" spans="1:14" ht="16.5" thickBot="1">
      <c r="A2" s="182"/>
      <c r="N2" t="s">
        <v>1</v>
      </c>
    </row>
    <row r="3" spans="1:15" ht="66.75" customHeight="1" thickBot="1">
      <c r="A3" s="184"/>
      <c r="B3" s="185"/>
      <c r="C3" s="186" t="s">
        <v>216</v>
      </c>
      <c r="D3" s="187" t="s">
        <v>217</v>
      </c>
      <c r="E3" s="188" t="s">
        <v>218</v>
      </c>
      <c r="F3" s="189" t="s">
        <v>219</v>
      </c>
      <c r="G3" s="186" t="s">
        <v>220</v>
      </c>
      <c r="H3" s="187" t="s">
        <v>221</v>
      </c>
      <c r="I3" s="280" t="s">
        <v>314</v>
      </c>
      <c r="J3" s="188" t="s">
        <v>222</v>
      </c>
      <c r="K3" s="188" t="s">
        <v>223</v>
      </c>
      <c r="L3" s="190" t="s">
        <v>224</v>
      </c>
      <c r="M3" s="339" t="s">
        <v>225</v>
      </c>
      <c r="N3" s="190" t="s">
        <v>226</v>
      </c>
      <c r="O3" s="188" t="s">
        <v>227</v>
      </c>
    </row>
    <row r="4" spans="1:15" ht="26.25" thickBot="1">
      <c r="A4" s="191" t="s">
        <v>228</v>
      </c>
      <c r="B4" s="192" t="s">
        <v>229</v>
      </c>
      <c r="C4" s="193" t="s">
        <v>230</v>
      </c>
      <c r="D4" s="194" t="s">
        <v>231</v>
      </c>
      <c r="E4" s="195"/>
      <c r="F4" s="196" t="s">
        <v>232</v>
      </c>
      <c r="G4" s="197" t="s">
        <v>233</v>
      </c>
      <c r="H4" s="197" t="s">
        <v>234</v>
      </c>
      <c r="I4" s="198"/>
      <c r="J4" s="195"/>
      <c r="K4" s="195"/>
      <c r="L4" s="195"/>
      <c r="M4" s="199"/>
      <c r="N4" s="195"/>
      <c r="O4" s="200">
        <v>5331</v>
      </c>
    </row>
    <row r="5" spans="1:15" ht="13.5" thickBot="1">
      <c r="A5" s="365"/>
      <c r="B5" s="366" t="s">
        <v>462</v>
      </c>
      <c r="C5" s="367">
        <f>ESF!C11</f>
        <v>3965.641</v>
      </c>
      <c r="D5" s="367">
        <f>ESF!D11</f>
        <v>34636.082</v>
      </c>
      <c r="E5" s="367">
        <f>ESF!E11</f>
        <v>38601.72299999999</v>
      </c>
      <c r="F5" s="367">
        <f>ESF!F11</f>
        <v>12453.048000000003</v>
      </c>
      <c r="G5" s="367">
        <f>ESF!G11</f>
        <v>71.307</v>
      </c>
      <c r="H5" s="367">
        <f>ESF!H11</f>
        <v>7325.147</v>
      </c>
      <c r="I5" s="367">
        <f>ESF!I11</f>
        <v>0</v>
      </c>
      <c r="J5" s="367">
        <f>ESF!J11</f>
        <v>7325.147</v>
      </c>
      <c r="K5" s="367">
        <f>ESF!K11</f>
        <v>19849.502000000004</v>
      </c>
      <c r="L5" s="367">
        <f>ESF!L11</f>
        <v>58451.225</v>
      </c>
      <c r="M5" s="367">
        <f>ESF!M11</f>
        <v>0</v>
      </c>
      <c r="N5" s="367">
        <f>ESF!N11</f>
        <v>58451.225</v>
      </c>
      <c r="O5" s="368">
        <f>ESF!O11</f>
        <v>9.000000000000002</v>
      </c>
    </row>
    <row r="6" spans="1:15" ht="12.75">
      <c r="A6" s="201" t="s">
        <v>328</v>
      </c>
      <c r="B6" s="202" t="s">
        <v>329</v>
      </c>
      <c r="C6" s="203">
        <v>4993</v>
      </c>
      <c r="D6" s="204">
        <v>857</v>
      </c>
      <c r="E6" s="205">
        <f>SUM(C6:D6)</f>
        <v>5850</v>
      </c>
      <c r="F6" s="206">
        <v>1783</v>
      </c>
      <c r="G6" s="203">
        <v>100</v>
      </c>
      <c r="H6" s="203">
        <v>461</v>
      </c>
      <c r="I6" s="207"/>
      <c r="J6" s="208">
        <f aca="true" t="shared" si="0" ref="J6:J12">SUM(H6:I6)</f>
        <v>461</v>
      </c>
      <c r="K6" s="205">
        <f>SUM(F6,G6,J6)</f>
        <v>2344</v>
      </c>
      <c r="L6" s="209">
        <f aca="true" t="shared" si="1" ref="L6:L12">SUM(E6,K6)</f>
        <v>8194</v>
      </c>
      <c r="M6" s="209">
        <v>1850</v>
      </c>
      <c r="N6" s="209">
        <f aca="true" t="shared" si="2" ref="N6:N12">SUM(L6,M6)</f>
        <v>10044</v>
      </c>
      <c r="O6" s="211">
        <v>19.8</v>
      </c>
    </row>
    <row r="7" spans="1:15" ht="12.75">
      <c r="A7" s="201" t="s">
        <v>330</v>
      </c>
      <c r="B7" s="202" t="s">
        <v>331</v>
      </c>
      <c r="C7" s="203"/>
      <c r="D7" s="204">
        <v>1861</v>
      </c>
      <c r="E7" s="208">
        <f aca="true" t="shared" si="3" ref="E7:E12">SUM(C7:D7)</f>
        <v>1861</v>
      </c>
      <c r="F7" s="206">
        <v>125</v>
      </c>
      <c r="G7" s="203"/>
      <c r="H7" s="203">
        <v>1972</v>
      </c>
      <c r="I7" s="219"/>
      <c r="J7" s="208">
        <f t="shared" si="0"/>
        <v>1972</v>
      </c>
      <c r="K7" s="208">
        <f aca="true" t="shared" si="4" ref="K7:K12">SUM(F7,G7,J7)</f>
        <v>2097</v>
      </c>
      <c r="L7" s="216">
        <f t="shared" si="1"/>
        <v>3958</v>
      </c>
      <c r="M7" s="209">
        <v>268</v>
      </c>
      <c r="N7" s="216">
        <f t="shared" si="2"/>
        <v>4226</v>
      </c>
      <c r="O7" s="211"/>
    </row>
    <row r="8" spans="1:15" ht="25.5">
      <c r="A8" s="201" t="s">
        <v>332</v>
      </c>
      <c r="B8" s="202" t="s">
        <v>333</v>
      </c>
      <c r="C8" s="203"/>
      <c r="D8" s="204">
        <v>397</v>
      </c>
      <c r="E8" s="208">
        <f t="shared" si="3"/>
        <v>397</v>
      </c>
      <c r="F8" s="206"/>
      <c r="G8" s="203"/>
      <c r="H8" s="203">
        <v>143</v>
      </c>
      <c r="I8" s="219"/>
      <c r="J8" s="208">
        <f t="shared" si="0"/>
        <v>143</v>
      </c>
      <c r="K8" s="208">
        <f t="shared" si="4"/>
        <v>143</v>
      </c>
      <c r="L8" s="216">
        <f t="shared" si="1"/>
        <v>540</v>
      </c>
      <c r="M8" s="209"/>
      <c r="N8" s="216">
        <f t="shared" si="2"/>
        <v>540</v>
      </c>
      <c r="O8" s="211"/>
    </row>
    <row r="9" spans="1:15" ht="12.75">
      <c r="A9" s="201" t="s">
        <v>346</v>
      </c>
      <c r="B9" s="202" t="s">
        <v>347</v>
      </c>
      <c r="C9" s="203"/>
      <c r="D9" s="204">
        <v>7714</v>
      </c>
      <c r="E9" s="208">
        <f t="shared" si="3"/>
        <v>7714</v>
      </c>
      <c r="F9" s="206">
        <v>2658</v>
      </c>
      <c r="G9" s="203"/>
      <c r="H9" s="203">
        <v>802</v>
      </c>
      <c r="I9" s="219"/>
      <c r="J9" s="208">
        <f t="shared" si="0"/>
        <v>802</v>
      </c>
      <c r="K9" s="208">
        <f t="shared" si="4"/>
        <v>3460</v>
      </c>
      <c r="L9" s="216">
        <f t="shared" si="1"/>
        <v>11174</v>
      </c>
      <c r="M9" s="209"/>
      <c r="N9" s="216">
        <f t="shared" si="2"/>
        <v>11174</v>
      </c>
      <c r="O9" s="211"/>
    </row>
    <row r="10" spans="1:15" ht="25.5">
      <c r="A10" s="212" t="s">
        <v>348</v>
      </c>
      <c r="B10" s="213" t="s">
        <v>349</v>
      </c>
      <c r="C10" s="115">
        <v>5</v>
      </c>
      <c r="D10" s="214"/>
      <c r="E10" s="208">
        <f t="shared" si="3"/>
        <v>5</v>
      </c>
      <c r="F10" s="135">
        <v>2</v>
      </c>
      <c r="G10" s="115"/>
      <c r="H10" s="115"/>
      <c r="I10" s="215"/>
      <c r="J10" s="208">
        <f t="shared" si="0"/>
        <v>0</v>
      </c>
      <c r="K10" s="208">
        <f t="shared" si="4"/>
        <v>2</v>
      </c>
      <c r="L10" s="216">
        <f t="shared" si="1"/>
        <v>7</v>
      </c>
      <c r="M10" s="216"/>
      <c r="N10" s="216">
        <f t="shared" si="2"/>
        <v>7</v>
      </c>
      <c r="O10" s="218">
        <v>0.2</v>
      </c>
    </row>
    <row r="11" spans="1:15" ht="25.5">
      <c r="A11" s="201" t="s">
        <v>350</v>
      </c>
      <c r="B11" s="202" t="s">
        <v>351</v>
      </c>
      <c r="C11" s="203"/>
      <c r="D11" s="204">
        <v>100</v>
      </c>
      <c r="E11" s="208">
        <f t="shared" si="3"/>
        <v>100</v>
      </c>
      <c r="F11" s="206"/>
      <c r="G11" s="203"/>
      <c r="H11" s="203">
        <v>175</v>
      </c>
      <c r="I11" s="219"/>
      <c r="J11" s="205">
        <f t="shared" si="0"/>
        <v>175</v>
      </c>
      <c r="K11" s="205">
        <f t="shared" si="4"/>
        <v>175</v>
      </c>
      <c r="L11" s="209">
        <f t="shared" si="1"/>
        <v>275</v>
      </c>
      <c r="M11" s="210"/>
      <c r="N11" s="209">
        <f t="shared" si="2"/>
        <v>275</v>
      </c>
      <c r="O11" s="211"/>
    </row>
    <row r="12" spans="1:15" ht="13.5" thickBot="1">
      <c r="A12" s="201" t="s">
        <v>352</v>
      </c>
      <c r="B12" s="213" t="s">
        <v>353</v>
      </c>
      <c r="C12" s="203"/>
      <c r="D12" s="214">
        <v>852</v>
      </c>
      <c r="E12" s="208">
        <f t="shared" si="3"/>
        <v>852</v>
      </c>
      <c r="F12" s="135"/>
      <c r="G12" s="115"/>
      <c r="H12" s="115">
        <v>186</v>
      </c>
      <c r="I12" s="215"/>
      <c r="J12" s="208">
        <f t="shared" si="0"/>
        <v>186</v>
      </c>
      <c r="K12" s="208">
        <f t="shared" si="4"/>
        <v>186</v>
      </c>
      <c r="L12" s="216">
        <f t="shared" si="1"/>
        <v>1038</v>
      </c>
      <c r="M12" s="217"/>
      <c r="N12" s="216">
        <f t="shared" si="2"/>
        <v>1038</v>
      </c>
      <c r="O12" s="211"/>
    </row>
    <row r="13" spans="1:19" s="112" customFormat="1" ht="14.25" customHeight="1" thickBot="1">
      <c r="A13" s="220"/>
      <c r="B13" s="221" t="s">
        <v>235</v>
      </c>
      <c r="C13" s="222">
        <f aca="true" t="shared" si="5" ref="C13:O13">SUM(C5:C12)</f>
        <v>8963.641</v>
      </c>
      <c r="D13" s="222">
        <f t="shared" si="5"/>
        <v>46417.082</v>
      </c>
      <c r="E13" s="222">
        <f t="shared" si="5"/>
        <v>55380.72299999999</v>
      </c>
      <c r="F13" s="222">
        <f t="shared" si="5"/>
        <v>17021.048000000003</v>
      </c>
      <c r="G13" s="222">
        <f t="shared" si="5"/>
        <v>171.30700000000002</v>
      </c>
      <c r="H13" s="222">
        <f t="shared" si="5"/>
        <v>11064.147</v>
      </c>
      <c r="I13" s="222">
        <f t="shared" si="5"/>
        <v>0</v>
      </c>
      <c r="J13" s="222">
        <f t="shared" si="5"/>
        <v>11064.147</v>
      </c>
      <c r="K13" s="222">
        <f t="shared" si="5"/>
        <v>28256.502000000004</v>
      </c>
      <c r="L13" s="222">
        <f t="shared" si="5"/>
        <v>83637.225</v>
      </c>
      <c r="M13" s="222">
        <f t="shared" si="5"/>
        <v>2118</v>
      </c>
      <c r="N13" s="222">
        <f t="shared" si="5"/>
        <v>85755.225</v>
      </c>
      <c r="O13" s="223">
        <f t="shared" si="5"/>
        <v>29.000000000000004</v>
      </c>
      <c r="P13"/>
      <c r="Q13"/>
      <c r="R13"/>
      <c r="S13"/>
    </row>
    <row r="14" spans="1:15" ht="13.5" thickBot="1">
      <c r="A14" s="365"/>
      <c r="B14" s="366" t="s">
        <v>464</v>
      </c>
      <c r="C14" s="374">
        <f>ESF!C14</f>
        <v>0</v>
      </c>
      <c r="D14" s="375">
        <f>ESF!D14</f>
        <v>0</v>
      </c>
      <c r="E14" s="376">
        <f>ESF!E14</f>
        <v>0</v>
      </c>
      <c r="F14" s="375">
        <f>ESF!F14</f>
        <v>0</v>
      </c>
      <c r="G14" s="375">
        <f>ESF!G14</f>
        <v>0</v>
      </c>
      <c r="H14" s="375">
        <f>ESF!H14</f>
        <v>245.05100000000002</v>
      </c>
      <c r="I14" s="377">
        <f>ESF!I14</f>
        <v>0</v>
      </c>
      <c r="J14" s="376">
        <f>ESF!J14</f>
        <v>245.05100000000002</v>
      </c>
      <c r="K14" s="376">
        <f>ESF!K14</f>
        <v>245.05100000000002</v>
      </c>
      <c r="L14" s="376">
        <f>ESF!L14</f>
        <v>245.05100000000002</v>
      </c>
      <c r="M14" s="376">
        <f>ESF!M14</f>
        <v>0</v>
      </c>
      <c r="N14" s="376">
        <f>ESF!N14</f>
        <v>245.05100000000002</v>
      </c>
      <c r="O14" s="378">
        <f>ESF!O14</f>
        <v>0</v>
      </c>
    </row>
    <row r="15" spans="1:15" ht="25.5">
      <c r="A15" s="212" t="s">
        <v>357</v>
      </c>
      <c r="B15" s="213" t="s">
        <v>358</v>
      </c>
      <c r="C15" s="115"/>
      <c r="D15" s="115"/>
      <c r="E15" s="208">
        <f aca="true" t="shared" si="6" ref="E15:E27">SUM(C15:D15)</f>
        <v>0</v>
      </c>
      <c r="F15" s="115"/>
      <c r="G15" s="115"/>
      <c r="H15" s="115">
        <v>19431</v>
      </c>
      <c r="I15" s="215"/>
      <c r="J15" s="208">
        <f aca="true" t="shared" si="7" ref="J15:J27">SUM(H15:I15)</f>
        <v>19431</v>
      </c>
      <c r="K15" s="208">
        <f aca="true" t="shared" si="8" ref="K15:K27">SUM(F15,G15,J15)</f>
        <v>19431</v>
      </c>
      <c r="L15" s="216">
        <f aca="true" t="shared" si="9" ref="L15:L27">SUM(E15,K15)</f>
        <v>19431</v>
      </c>
      <c r="M15" s="216"/>
      <c r="N15" s="216">
        <f aca="true" t="shared" si="10" ref="N15:N27">SUM(L15,M15)</f>
        <v>19431</v>
      </c>
      <c r="O15" s="266"/>
    </row>
    <row r="16" spans="1:15" ht="25.5">
      <c r="A16" s="212" t="s">
        <v>359</v>
      </c>
      <c r="B16" s="213" t="s">
        <v>360</v>
      </c>
      <c r="C16" s="115"/>
      <c r="D16" s="115"/>
      <c r="E16" s="208">
        <f t="shared" si="6"/>
        <v>0</v>
      </c>
      <c r="F16" s="115"/>
      <c r="G16" s="115"/>
      <c r="H16" s="115">
        <v>2159</v>
      </c>
      <c r="I16" s="215"/>
      <c r="J16" s="208">
        <f t="shared" si="7"/>
        <v>2159</v>
      </c>
      <c r="K16" s="208">
        <f t="shared" si="8"/>
        <v>2159</v>
      </c>
      <c r="L16" s="216">
        <f t="shared" si="9"/>
        <v>2159</v>
      </c>
      <c r="M16" s="216"/>
      <c r="N16" s="216">
        <f t="shared" si="10"/>
        <v>2159</v>
      </c>
      <c r="O16" s="266"/>
    </row>
    <row r="17" spans="1:15" ht="25.5">
      <c r="A17" s="212" t="s">
        <v>361</v>
      </c>
      <c r="B17" s="213" t="s">
        <v>362</v>
      </c>
      <c r="C17" s="115">
        <v>44</v>
      </c>
      <c r="D17" s="115"/>
      <c r="E17" s="208">
        <f t="shared" si="6"/>
        <v>44</v>
      </c>
      <c r="F17" s="115">
        <v>15</v>
      </c>
      <c r="G17" s="115">
        <v>1</v>
      </c>
      <c r="H17" s="115">
        <v>2999</v>
      </c>
      <c r="I17" s="215"/>
      <c r="J17" s="208">
        <f t="shared" si="7"/>
        <v>2999</v>
      </c>
      <c r="K17" s="208">
        <f t="shared" si="8"/>
        <v>3015</v>
      </c>
      <c r="L17" s="216">
        <f t="shared" si="9"/>
        <v>3059</v>
      </c>
      <c r="M17" s="216"/>
      <c r="N17" s="216">
        <f t="shared" si="10"/>
        <v>3059</v>
      </c>
      <c r="O17" s="266">
        <v>0.2</v>
      </c>
    </row>
    <row r="18" spans="1:15" ht="12.75">
      <c r="A18" s="212" t="s">
        <v>363</v>
      </c>
      <c r="B18" s="213" t="s">
        <v>364</v>
      </c>
      <c r="C18" s="115">
        <v>20</v>
      </c>
      <c r="D18" s="115"/>
      <c r="E18" s="208">
        <f t="shared" si="6"/>
        <v>20</v>
      </c>
      <c r="F18" s="115">
        <v>6</v>
      </c>
      <c r="G18" s="115">
        <v>1</v>
      </c>
      <c r="H18" s="115">
        <f>223+229.878+48.641</f>
        <v>501.519</v>
      </c>
      <c r="I18" s="215"/>
      <c r="J18" s="208">
        <f t="shared" si="7"/>
        <v>501.519</v>
      </c>
      <c r="K18" s="208">
        <f t="shared" si="8"/>
        <v>508.519</v>
      </c>
      <c r="L18" s="216">
        <f t="shared" si="9"/>
        <v>528.519</v>
      </c>
      <c r="M18" s="216"/>
      <c r="N18" s="216">
        <f t="shared" si="10"/>
        <v>528.519</v>
      </c>
      <c r="O18" s="266"/>
    </row>
    <row r="19" spans="1:15" ht="12.75">
      <c r="A19" s="419" t="s">
        <v>365</v>
      </c>
      <c r="B19" s="420" t="s">
        <v>366</v>
      </c>
      <c r="C19" s="421">
        <v>50</v>
      </c>
      <c r="D19" s="421"/>
      <c r="E19" s="422">
        <f>SUM(C19:D19)</f>
        <v>50</v>
      </c>
      <c r="F19" s="421">
        <v>17</v>
      </c>
      <c r="G19" s="421">
        <v>1</v>
      </c>
      <c r="H19" s="421">
        <f>1767+450</f>
        <v>2217</v>
      </c>
      <c r="I19" s="423"/>
      <c r="J19" s="422">
        <f>SUM(H19:I19)</f>
        <v>2217</v>
      </c>
      <c r="K19" s="422">
        <f>SUM(F19,G19,J19)</f>
        <v>2235</v>
      </c>
      <c r="L19" s="422">
        <f>SUM(E19,K19)</f>
        <v>2285</v>
      </c>
      <c r="M19" s="422"/>
      <c r="N19" s="422">
        <f>SUM(L19,M19)</f>
        <v>2285</v>
      </c>
      <c r="O19" s="424"/>
    </row>
    <row r="20" spans="1:15" ht="12.75">
      <c r="A20" s="212" t="s">
        <v>367</v>
      </c>
      <c r="B20" s="213" t="s">
        <v>368</v>
      </c>
      <c r="C20" s="115">
        <v>10510</v>
      </c>
      <c r="D20" s="115">
        <v>450</v>
      </c>
      <c r="E20" s="208">
        <f>SUM(C20:D20)</f>
        <v>10960</v>
      </c>
      <c r="F20" s="115">
        <v>3835</v>
      </c>
      <c r="G20" s="115">
        <v>211</v>
      </c>
      <c r="H20" s="115">
        <v>12147</v>
      </c>
      <c r="I20" s="215"/>
      <c r="J20" s="208">
        <f>SUM(H20:I20)</f>
        <v>12147</v>
      </c>
      <c r="K20" s="208">
        <f>SUM(F20,G20,J20)</f>
        <v>16193</v>
      </c>
      <c r="L20" s="216">
        <f>SUM(E20,K20)</f>
        <v>27153</v>
      </c>
      <c r="M20" s="216">
        <v>200</v>
      </c>
      <c r="N20" s="216">
        <f>SUM(L20,M20)</f>
        <v>27353</v>
      </c>
      <c r="O20" s="266">
        <v>48.91</v>
      </c>
    </row>
    <row r="21" spans="1:15" ht="12.75">
      <c r="A21" s="212" t="s">
        <v>369</v>
      </c>
      <c r="B21" s="213" t="s">
        <v>370</v>
      </c>
      <c r="C21" s="115">
        <v>120</v>
      </c>
      <c r="D21" s="115">
        <v>140</v>
      </c>
      <c r="E21" s="208">
        <f t="shared" si="6"/>
        <v>260</v>
      </c>
      <c r="F21" s="115">
        <v>91</v>
      </c>
      <c r="G21" s="115">
        <v>2</v>
      </c>
      <c r="H21" s="115">
        <v>12883</v>
      </c>
      <c r="I21" s="215"/>
      <c r="J21" s="208">
        <f t="shared" si="7"/>
        <v>12883</v>
      </c>
      <c r="K21" s="208">
        <f t="shared" si="8"/>
        <v>12976</v>
      </c>
      <c r="L21" s="216">
        <f t="shared" si="9"/>
        <v>13236</v>
      </c>
      <c r="M21" s="216"/>
      <c r="N21" s="216">
        <f t="shared" si="10"/>
        <v>13236</v>
      </c>
      <c r="O21" s="266">
        <v>0.86</v>
      </c>
    </row>
    <row r="22" spans="1:15" ht="12.75">
      <c r="A22" s="212" t="s">
        <v>371</v>
      </c>
      <c r="B22" s="213" t="s">
        <v>372</v>
      </c>
      <c r="C22" s="115">
        <v>564</v>
      </c>
      <c r="D22" s="115"/>
      <c r="E22" s="205">
        <f t="shared" si="6"/>
        <v>564</v>
      </c>
      <c r="F22" s="115">
        <v>198</v>
      </c>
      <c r="G22" s="115">
        <v>12</v>
      </c>
      <c r="H22" s="115">
        <v>16163</v>
      </c>
      <c r="I22" s="219"/>
      <c r="J22" s="205">
        <f t="shared" si="7"/>
        <v>16163</v>
      </c>
      <c r="K22" s="205">
        <f t="shared" si="8"/>
        <v>16373</v>
      </c>
      <c r="L22" s="209">
        <f t="shared" si="9"/>
        <v>16937</v>
      </c>
      <c r="M22" s="209"/>
      <c r="N22" s="216">
        <f t="shared" si="10"/>
        <v>16937</v>
      </c>
      <c r="O22" s="266">
        <v>2.33</v>
      </c>
    </row>
    <row r="23" spans="1:15" ht="12.75">
      <c r="A23" s="212" t="s">
        <v>373</v>
      </c>
      <c r="B23" s="213" t="s">
        <v>374</v>
      </c>
      <c r="C23" s="115">
        <v>2940</v>
      </c>
      <c r="D23" s="115"/>
      <c r="E23" s="205">
        <f t="shared" si="6"/>
        <v>2940</v>
      </c>
      <c r="F23" s="115">
        <v>1029</v>
      </c>
      <c r="G23" s="115">
        <v>59</v>
      </c>
      <c r="H23" s="115">
        <v>10151</v>
      </c>
      <c r="I23" s="219"/>
      <c r="J23" s="205">
        <f t="shared" si="7"/>
        <v>10151</v>
      </c>
      <c r="K23" s="205">
        <f t="shared" si="8"/>
        <v>11239</v>
      </c>
      <c r="L23" s="209">
        <f t="shared" si="9"/>
        <v>14179</v>
      </c>
      <c r="M23" s="209"/>
      <c r="N23" s="216">
        <f t="shared" si="10"/>
        <v>14179</v>
      </c>
      <c r="O23" s="266">
        <v>12</v>
      </c>
    </row>
    <row r="24" spans="1:15" ht="25.5">
      <c r="A24" s="212" t="s">
        <v>375</v>
      </c>
      <c r="B24" s="213" t="s">
        <v>376</v>
      </c>
      <c r="C24" s="115"/>
      <c r="D24" s="115">
        <v>300</v>
      </c>
      <c r="E24" s="205">
        <f t="shared" si="6"/>
        <v>300</v>
      </c>
      <c r="F24" s="115">
        <v>98</v>
      </c>
      <c r="G24" s="115"/>
      <c r="H24" s="115">
        <v>2701</v>
      </c>
      <c r="I24" s="219"/>
      <c r="J24" s="205">
        <f t="shared" si="7"/>
        <v>2701</v>
      </c>
      <c r="K24" s="205">
        <f t="shared" si="8"/>
        <v>2799</v>
      </c>
      <c r="L24" s="209">
        <f t="shared" si="9"/>
        <v>3099</v>
      </c>
      <c r="M24" s="209"/>
      <c r="N24" s="216">
        <f t="shared" si="10"/>
        <v>3099</v>
      </c>
      <c r="O24" s="266"/>
    </row>
    <row r="25" spans="1:15" ht="12.75">
      <c r="A25" s="212" t="s">
        <v>377</v>
      </c>
      <c r="B25" s="213" t="s">
        <v>378</v>
      </c>
      <c r="C25" s="115">
        <v>7375</v>
      </c>
      <c r="D25" s="115">
        <v>1517</v>
      </c>
      <c r="E25" s="205">
        <f t="shared" si="6"/>
        <v>8892</v>
      </c>
      <c r="F25" s="115">
        <v>3116</v>
      </c>
      <c r="G25" s="115">
        <v>147</v>
      </c>
      <c r="H25" s="115">
        <v>18200</v>
      </c>
      <c r="I25" s="219"/>
      <c r="J25" s="205">
        <f>SUM(H25:I25)</f>
        <v>18200</v>
      </c>
      <c r="K25" s="205">
        <f>SUM(F25,G25,J25)</f>
        <v>21463</v>
      </c>
      <c r="L25" s="209">
        <f>SUM(E25,K25)</f>
        <v>30355</v>
      </c>
      <c r="M25" s="209">
        <v>31161</v>
      </c>
      <c r="N25" s="216">
        <f>SUM(L25,M25)</f>
        <v>61516</v>
      </c>
      <c r="O25" s="266">
        <v>34</v>
      </c>
    </row>
    <row r="26" spans="1:15" ht="12.75">
      <c r="A26" s="212" t="s">
        <v>379</v>
      </c>
      <c r="B26" s="213" t="s">
        <v>380</v>
      </c>
      <c r="C26" s="115">
        <v>3198</v>
      </c>
      <c r="D26" s="115"/>
      <c r="E26" s="205">
        <f t="shared" si="6"/>
        <v>3198</v>
      </c>
      <c r="F26" s="115">
        <v>1120</v>
      </c>
      <c r="G26" s="115">
        <v>64</v>
      </c>
      <c r="H26" s="115"/>
      <c r="I26" s="219"/>
      <c r="J26" s="205">
        <f>SUM(H26:I26)</f>
        <v>0</v>
      </c>
      <c r="K26" s="205">
        <f>SUM(F26,G26,J26)</f>
        <v>1184</v>
      </c>
      <c r="L26" s="209">
        <f>SUM(E26,K26)</f>
        <v>4382</v>
      </c>
      <c r="M26" s="209"/>
      <c r="N26" s="216">
        <f>SUM(L26,M26)</f>
        <v>4382</v>
      </c>
      <c r="O26" s="266">
        <v>10.3</v>
      </c>
    </row>
    <row r="27" spans="1:15" ht="13.5" thickBot="1">
      <c r="A27" s="201" t="s">
        <v>381</v>
      </c>
      <c r="B27" s="202" t="s">
        <v>382</v>
      </c>
      <c r="C27" s="264">
        <v>420</v>
      </c>
      <c r="D27" s="264">
        <v>180</v>
      </c>
      <c r="E27" s="205">
        <f t="shared" si="6"/>
        <v>600</v>
      </c>
      <c r="F27" s="264">
        <v>210</v>
      </c>
      <c r="G27" s="264">
        <v>9</v>
      </c>
      <c r="H27" s="264">
        <v>3181</v>
      </c>
      <c r="I27" s="219"/>
      <c r="J27" s="205">
        <f t="shared" si="7"/>
        <v>3181</v>
      </c>
      <c r="K27" s="205">
        <f t="shared" si="8"/>
        <v>3400</v>
      </c>
      <c r="L27" s="209">
        <f t="shared" si="9"/>
        <v>4000</v>
      </c>
      <c r="M27" s="209"/>
      <c r="N27" s="209">
        <f t="shared" si="10"/>
        <v>4000</v>
      </c>
      <c r="O27" s="265"/>
    </row>
    <row r="28" spans="1:15" ht="14.25" customHeight="1" thickBot="1">
      <c r="A28" s="220"/>
      <c r="B28" s="221" t="s">
        <v>236</v>
      </c>
      <c r="C28" s="224">
        <f aca="true" t="shared" si="11" ref="C28:O28">SUM(C14:C27)</f>
        <v>25241</v>
      </c>
      <c r="D28" s="224">
        <f t="shared" si="11"/>
        <v>2587</v>
      </c>
      <c r="E28" s="224">
        <f t="shared" si="11"/>
        <v>27828</v>
      </c>
      <c r="F28" s="224">
        <f t="shared" si="11"/>
        <v>9735</v>
      </c>
      <c r="G28" s="224">
        <f t="shared" si="11"/>
        <v>507</v>
      </c>
      <c r="H28" s="224">
        <f t="shared" si="11"/>
        <v>102978.57</v>
      </c>
      <c r="I28" s="224">
        <f t="shared" si="11"/>
        <v>0</v>
      </c>
      <c r="J28" s="224">
        <f>SUM(J14:J27)</f>
        <v>102978.57</v>
      </c>
      <c r="K28" s="224">
        <f t="shared" si="11"/>
        <v>113220.57</v>
      </c>
      <c r="L28" s="224">
        <f>SUM(L14:L27)</f>
        <v>141048.57</v>
      </c>
      <c r="M28" s="224">
        <f t="shared" si="11"/>
        <v>31361</v>
      </c>
      <c r="N28" s="224">
        <f t="shared" si="11"/>
        <v>172409.57</v>
      </c>
      <c r="O28" s="225">
        <f t="shared" si="11"/>
        <v>108.6</v>
      </c>
    </row>
    <row r="29" spans="1:19" s="183" customFormat="1" ht="14.25" customHeight="1" thickBot="1">
      <c r="A29" s="226" t="s">
        <v>237</v>
      </c>
      <c r="B29" s="273" t="s">
        <v>238</v>
      </c>
      <c r="C29" s="227">
        <v>940</v>
      </c>
      <c r="D29" s="228">
        <v>70</v>
      </c>
      <c r="E29" s="229">
        <f>SUM(C29:D29)</f>
        <v>1010</v>
      </c>
      <c r="F29" s="230">
        <v>330</v>
      </c>
      <c r="G29" s="227">
        <v>18</v>
      </c>
      <c r="H29" s="227">
        <v>6199</v>
      </c>
      <c r="I29" s="228">
        <v>2650</v>
      </c>
      <c r="J29" s="229">
        <f>SUM(H29:I29)</f>
        <v>8849</v>
      </c>
      <c r="K29" s="229">
        <f>SUM(F29,G29,J29)</f>
        <v>9197</v>
      </c>
      <c r="L29" s="229">
        <f>SUM(E29,K29)</f>
        <v>10207</v>
      </c>
      <c r="M29" s="229">
        <v>50</v>
      </c>
      <c r="N29" s="229">
        <f>SUM(L29,M29)</f>
        <v>10257</v>
      </c>
      <c r="O29" s="231">
        <v>4.72</v>
      </c>
      <c r="P29"/>
      <c r="Q29"/>
      <c r="R29"/>
      <c r="S29"/>
    </row>
    <row r="30" spans="1:15" ht="13.5" thickBot="1">
      <c r="A30" s="267"/>
      <c r="B30" s="268" t="s">
        <v>239</v>
      </c>
      <c r="C30" s="224">
        <f aca="true" t="shared" si="12" ref="C30:O30">SUM(C29:C29)</f>
        <v>940</v>
      </c>
      <c r="D30" s="232">
        <f t="shared" si="12"/>
        <v>70</v>
      </c>
      <c r="E30" s="222">
        <f t="shared" si="12"/>
        <v>1010</v>
      </c>
      <c r="F30" s="233">
        <f t="shared" si="12"/>
        <v>330</v>
      </c>
      <c r="G30" s="224">
        <f t="shared" si="12"/>
        <v>18</v>
      </c>
      <c r="H30" s="224">
        <f t="shared" si="12"/>
        <v>6199</v>
      </c>
      <c r="I30" s="224">
        <f t="shared" si="12"/>
        <v>2650</v>
      </c>
      <c r="J30" s="222">
        <f t="shared" si="12"/>
        <v>8849</v>
      </c>
      <c r="K30" s="222">
        <f t="shared" si="12"/>
        <v>9197</v>
      </c>
      <c r="L30" s="222">
        <f t="shared" si="12"/>
        <v>10207</v>
      </c>
      <c r="M30" s="222">
        <f t="shared" si="12"/>
        <v>50</v>
      </c>
      <c r="N30" s="222">
        <f t="shared" si="12"/>
        <v>10257</v>
      </c>
      <c r="O30" s="223">
        <f t="shared" si="12"/>
        <v>4.72</v>
      </c>
    </row>
    <row r="31" spans="1:15" ht="13.5" thickBot="1">
      <c r="A31" s="365"/>
      <c r="B31" s="366" t="s">
        <v>465</v>
      </c>
      <c r="C31" s="374">
        <f>ESF!C17</f>
        <v>0</v>
      </c>
      <c r="D31" s="377">
        <f>ESF!D17</f>
        <v>0</v>
      </c>
      <c r="E31" s="376">
        <f>ESF!E17</f>
        <v>0</v>
      </c>
      <c r="F31" s="385">
        <f>ESF!F17</f>
        <v>0</v>
      </c>
      <c r="G31" s="375">
        <f>ESF!G17</f>
        <v>0</v>
      </c>
      <c r="H31" s="375">
        <f>ESF!H17</f>
        <v>0</v>
      </c>
      <c r="I31" s="377">
        <f>ESF!I17</f>
        <v>0</v>
      </c>
      <c r="J31" s="376">
        <f>ESF!J17</f>
        <v>0</v>
      </c>
      <c r="K31" s="376">
        <f>ESF!K17</f>
        <v>0</v>
      </c>
      <c r="L31" s="376">
        <f>ESF!L17</f>
        <v>0</v>
      </c>
      <c r="M31" s="376">
        <f>ESF!M17</f>
        <v>0</v>
      </c>
      <c r="N31" s="376">
        <f>ESF!N17</f>
        <v>0</v>
      </c>
      <c r="O31" s="386">
        <f>ESF!O17</f>
        <v>3.71</v>
      </c>
    </row>
    <row r="32" spans="1:15" ht="25.5">
      <c r="A32" s="201" t="s">
        <v>387</v>
      </c>
      <c r="B32" s="235" t="s">
        <v>388</v>
      </c>
      <c r="C32" s="115">
        <v>231</v>
      </c>
      <c r="D32" s="214"/>
      <c r="E32" s="208">
        <f>SUM(C32:D32)</f>
        <v>231</v>
      </c>
      <c r="F32" s="135">
        <v>81</v>
      </c>
      <c r="G32" s="115">
        <v>5</v>
      </c>
      <c r="H32" s="115">
        <v>262</v>
      </c>
      <c r="I32" s="215"/>
      <c r="J32" s="208">
        <f>SUM(H32:I32)</f>
        <v>262</v>
      </c>
      <c r="K32" s="208">
        <f>SUM(F32,G32,J32)</f>
        <v>348</v>
      </c>
      <c r="L32" s="216">
        <f>SUM(E32,K32)</f>
        <v>579</v>
      </c>
      <c r="M32" s="216"/>
      <c r="N32" s="216">
        <f>SUM(L32,M32)</f>
        <v>579</v>
      </c>
      <c r="O32" s="218"/>
    </row>
    <row r="33" spans="1:15" ht="12.75">
      <c r="A33" s="201" t="s">
        <v>389</v>
      </c>
      <c r="B33" s="235" t="s">
        <v>390</v>
      </c>
      <c r="C33" s="115"/>
      <c r="D33" s="214">
        <v>30</v>
      </c>
      <c r="E33" s="208">
        <f>SUM(C33:D33)</f>
        <v>30</v>
      </c>
      <c r="F33" s="135"/>
      <c r="G33" s="115"/>
      <c r="H33" s="115">
        <v>255</v>
      </c>
      <c r="I33" s="215"/>
      <c r="J33" s="208">
        <f>SUM(H33:I33)</f>
        <v>255</v>
      </c>
      <c r="K33" s="208">
        <f>SUM(F33,G33,J33)</f>
        <v>255</v>
      </c>
      <c r="L33" s="216">
        <f>SUM(E33,K33)</f>
        <v>285</v>
      </c>
      <c r="M33" s="216"/>
      <c r="N33" s="216">
        <f>SUM(L33,M33)</f>
        <v>285</v>
      </c>
      <c r="O33" s="218"/>
    </row>
    <row r="34" spans="1:15" ht="12.75">
      <c r="A34" s="201" t="s">
        <v>240</v>
      </c>
      <c r="B34" s="235" t="s">
        <v>241</v>
      </c>
      <c r="C34" s="115">
        <v>31961</v>
      </c>
      <c r="D34" s="214">
        <v>830</v>
      </c>
      <c r="E34" s="208">
        <f>SUM(C34:D34)</f>
        <v>32791</v>
      </c>
      <c r="F34" s="135">
        <v>11331</v>
      </c>
      <c r="G34" s="115">
        <v>640</v>
      </c>
      <c r="H34" s="115">
        <v>11472</v>
      </c>
      <c r="I34" s="215">
        <v>1100</v>
      </c>
      <c r="J34" s="208">
        <f>SUM(H34:I34)</f>
        <v>12572</v>
      </c>
      <c r="K34" s="208">
        <f>SUM(F34,G34,J34)</f>
        <v>24543</v>
      </c>
      <c r="L34" s="216">
        <f>SUM(E34,K34)</f>
        <v>57334</v>
      </c>
      <c r="M34" s="216">
        <v>14300</v>
      </c>
      <c r="N34" s="216">
        <f>SUM(L34,M34)</f>
        <v>71634</v>
      </c>
      <c r="O34" s="218">
        <v>131.66</v>
      </c>
    </row>
    <row r="35" spans="1:15" ht="12.75">
      <c r="A35" s="212" t="s">
        <v>391</v>
      </c>
      <c r="B35" s="213" t="s">
        <v>392</v>
      </c>
      <c r="C35" s="115">
        <v>470</v>
      </c>
      <c r="D35" s="214">
        <v>540</v>
      </c>
      <c r="E35" s="208">
        <f aca="true" t="shared" si="13" ref="E35:E40">SUM(C35:D35)</f>
        <v>1010</v>
      </c>
      <c r="F35" s="135">
        <v>265</v>
      </c>
      <c r="G35" s="115">
        <v>9</v>
      </c>
      <c r="H35" s="115">
        <v>3884</v>
      </c>
      <c r="I35" s="215"/>
      <c r="J35" s="208">
        <f aca="true" t="shared" si="14" ref="J35:J40">SUM(H35:I35)</f>
        <v>3884</v>
      </c>
      <c r="K35" s="208">
        <f aca="true" t="shared" si="15" ref="K35:K40">SUM(F35,G35,J35)</f>
        <v>4158</v>
      </c>
      <c r="L35" s="216">
        <f aca="true" t="shared" si="16" ref="L35:L40">SUM(E35,K35)</f>
        <v>5168</v>
      </c>
      <c r="M35" s="216"/>
      <c r="N35" s="216">
        <f aca="true" t="shared" si="17" ref="N35:N40">SUM(L35,M35)</f>
        <v>5168</v>
      </c>
      <c r="O35" s="218"/>
    </row>
    <row r="36" spans="1:15" ht="12.75">
      <c r="A36" s="212" t="s">
        <v>393</v>
      </c>
      <c r="B36" s="213" t="s">
        <v>394</v>
      </c>
      <c r="C36" s="115">
        <v>2331</v>
      </c>
      <c r="D36" s="214">
        <v>273</v>
      </c>
      <c r="E36" s="208">
        <f t="shared" si="13"/>
        <v>2604</v>
      </c>
      <c r="F36" s="135">
        <v>849</v>
      </c>
      <c r="G36" s="115">
        <v>47</v>
      </c>
      <c r="H36" s="115">
        <v>2870</v>
      </c>
      <c r="I36" s="215"/>
      <c r="J36" s="208">
        <f t="shared" si="14"/>
        <v>2870</v>
      </c>
      <c r="K36" s="208">
        <f t="shared" si="15"/>
        <v>3766</v>
      </c>
      <c r="L36" s="216">
        <f t="shared" si="16"/>
        <v>6370</v>
      </c>
      <c r="M36" s="216"/>
      <c r="N36" s="216">
        <f t="shared" si="17"/>
        <v>6370</v>
      </c>
      <c r="O36" s="218">
        <v>8</v>
      </c>
    </row>
    <row r="37" spans="1:15" ht="12.75">
      <c r="A37" s="212" t="s">
        <v>242</v>
      </c>
      <c r="B37" s="213" t="s">
        <v>243</v>
      </c>
      <c r="C37" s="115">
        <v>5334</v>
      </c>
      <c r="D37" s="214">
        <v>1176</v>
      </c>
      <c r="E37" s="208">
        <f t="shared" si="13"/>
        <v>6510</v>
      </c>
      <c r="F37" s="135">
        <v>1902</v>
      </c>
      <c r="G37" s="115">
        <v>107</v>
      </c>
      <c r="H37" s="115">
        <v>3355</v>
      </c>
      <c r="I37" s="215"/>
      <c r="J37" s="208">
        <f t="shared" si="14"/>
        <v>3355</v>
      </c>
      <c r="K37" s="208">
        <f t="shared" si="15"/>
        <v>5364</v>
      </c>
      <c r="L37" s="216">
        <f t="shared" si="16"/>
        <v>11874</v>
      </c>
      <c r="M37" s="216"/>
      <c r="N37" s="216">
        <f t="shared" si="17"/>
        <v>11874</v>
      </c>
      <c r="O37" s="218">
        <v>15.75</v>
      </c>
    </row>
    <row r="38" spans="1:15" ht="25.5">
      <c r="A38" s="212" t="s">
        <v>244</v>
      </c>
      <c r="B38" s="213" t="s">
        <v>245</v>
      </c>
      <c r="C38" s="115">
        <v>345</v>
      </c>
      <c r="D38" s="214">
        <v>25</v>
      </c>
      <c r="E38" s="208">
        <f t="shared" si="13"/>
        <v>370</v>
      </c>
      <c r="F38" s="135">
        <v>121</v>
      </c>
      <c r="G38" s="115">
        <v>7</v>
      </c>
      <c r="H38" s="115">
        <v>335</v>
      </c>
      <c r="I38" s="215"/>
      <c r="J38" s="208">
        <f t="shared" si="14"/>
        <v>335</v>
      </c>
      <c r="K38" s="208">
        <f t="shared" si="15"/>
        <v>463</v>
      </c>
      <c r="L38" s="216">
        <f t="shared" si="16"/>
        <v>833</v>
      </c>
      <c r="M38" s="216"/>
      <c r="N38" s="216">
        <f t="shared" si="17"/>
        <v>833</v>
      </c>
      <c r="O38" s="218"/>
    </row>
    <row r="39" spans="1:15" ht="12.75">
      <c r="A39" s="212" t="s">
        <v>305</v>
      </c>
      <c r="B39" s="213" t="s">
        <v>303</v>
      </c>
      <c r="C39" s="115">
        <v>331</v>
      </c>
      <c r="D39" s="214"/>
      <c r="E39" s="208">
        <f t="shared" si="13"/>
        <v>331</v>
      </c>
      <c r="F39" s="135">
        <v>116</v>
      </c>
      <c r="G39" s="115">
        <v>7</v>
      </c>
      <c r="H39" s="115">
        <v>36</v>
      </c>
      <c r="I39" s="215"/>
      <c r="J39" s="208">
        <f t="shared" si="14"/>
        <v>36</v>
      </c>
      <c r="K39" s="208">
        <f t="shared" si="15"/>
        <v>159</v>
      </c>
      <c r="L39" s="216">
        <f t="shared" si="16"/>
        <v>490</v>
      </c>
      <c r="M39" s="216"/>
      <c r="N39" s="216">
        <f t="shared" si="17"/>
        <v>490</v>
      </c>
      <c r="O39" s="218">
        <v>1</v>
      </c>
    </row>
    <row r="40" spans="1:15" ht="13.5" thickBot="1">
      <c r="A40" s="201" t="s">
        <v>306</v>
      </c>
      <c r="B40" s="213" t="s">
        <v>304</v>
      </c>
      <c r="C40" s="115">
        <v>310</v>
      </c>
      <c r="D40" s="214">
        <v>530</v>
      </c>
      <c r="E40" s="208">
        <f t="shared" si="13"/>
        <v>840</v>
      </c>
      <c r="F40" s="135">
        <v>109</v>
      </c>
      <c r="G40" s="115">
        <v>7</v>
      </c>
      <c r="H40" s="115">
        <v>1044</v>
      </c>
      <c r="I40" s="215"/>
      <c r="J40" s="208">
        <f t="shared" si="14"/>
        <v>1044</v>
      </c>
      <c r="K40" s="208">
        <f t="shared" si="15"/>
        <v>1160</v>
      </c>
      <c r="L40" s="216">
        <f t="shared" si="16"/>
        <v>2000</v>
      </c>
      <c r="M40" s="216"/>
      <c r="N40" s="216">
        <f t="shared" si="17"/>
        <v>2000</v>
      </c>
      <c r="O40" s="218"/>
    </row>
    <row r="41" spans="1:15" ht="14.25" customHeight="1" thickBot="1">
      <c r="A41" s="220"/>
      <c r="B41" s="221" t="s">
        <v>246</v>
      </c>
      <c r="C41" s="224">
        <f aca="true" t="shared" si="18" ref="C41:N41">SUM(C31:C40)</f>
        <v>41313</v>
      </c>
      <c r="D41" s="232">
        <f t="shared" si="18"/>
        <v>3404</v>
      </c>
      <c r="E41" s="222">
        <f t="shared" si="18"/>
        <v>44717</v>
      </c>
      <c r="F41" s="233">
        <f t="shared" si="18"/>
        <v>14774</v>
      </c>
      <c r="G41" s="224">
        <f t="shared" si="18"/>
        <v>829</v>
      </c>
      <c r="H41" s="224">
        <f t="shared" si="18"/>
        <v>23513</v>
      </c>
      <c r="I41" s="224">
        <f t="shared" si="18"/>
        <v>1100</v>
      </c>
      <c r="J41" s="222">
        <f t="shared" si="18"/>
        <v>24613</v>
      </c>
      <c r="K41" s="222">
        <f t="shared" si="18"/>
        <v>40216</v>
      </c>
      <c r="L41" s="222">
        <f t="shared" si="18"/>
        <v>84933</v>
      </c>
      <c r="M41" s="222">
        <f t="shared" si="18"/>
        <v>14300</v>
      </c>
      <c r="N41" s="222">
        <f t="shared" si="18"/>
        <v>99233</v>
      </c>
      <c r="O41" s="223">
        <f>SUM(O31:O40)</f>
        <v>160.12</v>
      </c>
    </row>
    <row r="42" spans="1:19" s="179" customFormat="1" ht="13.5" thickBot="1">
      <c r="A42" s="365"/>
      <c r="B42" s="366" t="s">
        <v>470</v>
      </c>
      <c r="C42" s="367">
        <f>ESF!C32</f>
        <v>5884.046</v>
      </c>
      <c r="D42" s="367">
        <f>ESF!D32</f>
        <v>13690.897</v>
      </c>
      <c r="E42" s="367">
        <f>ESF!E32</f>
        <v>19574.943000000003</v>
      </c>
      <c r="F42" s="367">
        <f>ESF!F32</f>
        <v>3492.842</v>
      </c>
      <c r="G42" s="367">
        <f>ESF!G32</f>
        <v>119.916</v>
      </c>
      <c r="H42" s="367">
        <f>ESF!H32</f>
        <v>15397.207</v>
      </c>
      <c r="I42" s="367">
        <f>ESF!I32</f>
        <v>0</v>
      </c>
      <c r="J42" s="367">
        <f>ESF!J32</f>
        <v>15397.207</v>
      </c>
      <c r="K42" s="367">
        <f>ESF!K32</f>
        <v>19009.965000000004</v>
      </c>
      <c r="L42" s="367">
        <f>ESF!L32</f>
        <v>38584.908</v>
      </c>
      <c r="M42" s="367">
        <f>ESF!M32</f>
        <v>0</v>
      </c>
      <c r="N42" s="367">
        <f>ESF!N32</f>
        <v>38584.908</v>
      </c>
      <c r="O42" s="368">
        <f>ESF!O32</f>
        <v>26.919999999999998</v>
      </c>
      <c r="P42"/>
      <c r="Q42"/>
      <c r="R42"/>
      <c r="S42"/>
    </row>
    <row r="43" spans="1:19" s="179" customFormat="1" ht="25.5">
      <c r="A43" s="212" t="s">
        <v>419</v>
      </c>
      <c r="B43" s="213" t="s">
        <v>420</v>
      </c>
      <c r="C43" s="115">
        <v>40</v>
      </c>
      <c r="D43" s="214"/>
      <c r="E43" s="208">
        <f>SUM(C43:D43)</f>
        <v>40</v>
      </c>
      <c r="F43" s="135">
        <v>14</v>
      </c>
      <c r="G43" s="115">
        <v>1</v>
      </c>
      <c r="H43" s="115"/>
      <c r="I43" s="215"/>
      <c r="J43" s="208">
        <f>SUM(H43:I43)</f>
        <v>0</v>
      </c>
      <c r="K43" s="208">
        <f>SUM(F43,G43,J43)</f>
        <v>15</v>
      </c>
      <c r="L43" s="216">
        <f>SUM(E43,K43)</f>
        <v>55</v>
      </c>
      <c r="M43" s="216"/>
      <c r="N43" s="216">
        <f>SUM(L43,M43)</f>
        <v>55</v>
      </c>
      <c r="O43" s="218">
        <v>0.2</v>
      </c>
      <c r="P43"/>
      <c r="Q43"/>
      <c r="R43"/>
      <c r="S43"/>
    </row>
    <row r="44" spans="1:19" s="179" customFormat="1" ht="25.5">
      <c r="A44" s="212" t="s">
        <v>421</v>
      </c>
      <c r="B44" s="213" t="s">
        <v>422</v>
      </c>
      <c r="C44" s="115"/>
      <c r="D44" s="214">
        <v>10</v>
      </c>
      <c r="E44" s="208">
        <f>SUM(C44:D44)</f>
        <v>10</v>
      </c>
      <c r="F44" s="135"/>
      <c r="G44" s="115"/>
      <c r="H44" s="115">
        <v>23</v>
      </c>
      <c r="I44" s="215"/>
      <c r="J44" s="208">
        <f>SUM(H44:I44)</f>
        <v>23</v>
      </c>
      <c r="K44" s="208">
        <f>SUM(F44,G44,J44)</f>
        <v>23</v>
      </c>
      <c r="L44" s="216">
        <f>SUM(E44,K44)</f>
        <v>33</v>
      </c>
      <c r="M44" s="216"/>
      <c r="N44" s="216">
        <f>SUM(L44,M44)</f>
        <v>33</v>
      </c>
      <c r="O44" s="218"/>
      <c r="P44"/>
      <c r="Q44"/>
      <c r="R44"/>
      <c r="S44"/>
    </row>
    <row r="45" spans="1:15" ht="12.75">
      <c r="A45" s="212" t="s">
        <v>247</v>
      </c>
      <c r="B45" s="213" t="s">
        <v>248</v>
      </c>
      <c r="C45" s="115">
        <v>20309</v>
      </c>
      <c r="D45" s="214">
        <v>1400</v>
      </c>
      <c r="E45" s="208">
        <f>SUM(C45:D45)</f>
        <v>21709</v>
      </c>
      <c r="F45" s="135">
        <v>7657</v>
      </c>
      <c r="G45" s="115">
        <v>406</v>
      </c>
      <c r="H45" s="115">
        <v>5737</v>
      </c>
      <c r="I45" s="215"/>
      <c r="J45" s="208">
        <f>SUM(H45:I45)</f>
        <v>5737</v>
      </c>
      <c r="K45" s="208">
        <f>SUM(F45,G45,J45)</f>
        <v>13800</v>
      </c>
      <c r="L45" s="216">
        <f>SUM(E45,K45)</f>
        <v>35509</v>
      </c>
      <c r="M45" s="216">
        <v>3108</v>
      </c>
      <c r="N45" s="216">
        <f>SUM(L45,M45)</f>
        <v>38617</v>
      </c>
      <c r="O45" s="218">
        <v>79.89</v>
      </c>
    </row>
    <row r="46" spans="1:15" ht="12.75">
      <c r="A46" s="212" t="s">
        <v>249</v>
      </c>
      <c r="B46" s="213" t="s">
        <v>250</v>
      </c>
      <c r="C46" s="115">
        <v>1708</v>
      </c>
      <c r="D46" s="214">
        <v>880</v>
      </c>
      <c r="E46" s="208">
        <f>SUM(C46:D46)</f>
        <v>2588</v>
      </c>
      <c r="F46" s="135">
        <v>713</v>
      </c>
      <c r="G46" s="115">
        <v>34</v>
      </c>
      <c r="H46" s="115">
        <v>2053</v>
      </c>
      <c r="I46" s="215"/>
      <c r="J46" s="208">
        <f>SUM(H46:I46)</f>
        <v>2053</v>
      </c>
      <c r="K46" s="208">
        <f>SUM(F46,G46,J46)</f>
        <v>2800</v>
      </c>
      <c r="L46" s="216">
        <f>SUM(E46,K46)</f>
        <v>5388</v>
      </c>
      <c r="M46" s="216">
        <v>200</v>
      </c>
      <c r="N46" s="216">
        <f>SUM(L46,M46)</f>
        <v>5588</v>
      </c>
      <c r="O46" s="218">
        <v>4.42</v>
      </c>
    </row>
    <row r="47" spans="1:15" ht="26.25" thickBot="1">
      <c r="A47" s="212" t="s">
        <v>251</v>
      </c>
      <c r="B47" s="213" t="s">
        <v>252</v>
      </c>
      <c r="C47" s="115">
        <v>1195</v>
      </c>
      <c r="D47" s="214">
        <v>649</v>
      </c>
      <c r="E47" s="208">
        <f>SUM(C47:D47)</f>
        <v>1844</v>
      </c>
      <c r="F47" s="135">
        <v>537</v>
      </c>
      <c r="G47" s="115">
        <v>24</v>
      </c>
      <c r="H47" s="115">
        <v>1725</v>
      </c>
      <c r="I47" s="215"/>
      <c r="J47" s="208">
        <f>SUM(H47:I47)</f>
        <v>1725</v>
      </c>
      <c r="K47" s="208">
        <f>SUM(F47,G47,J47)</f>
        <v>2286</v>
      </c>
      <c r="L47" s="216">
        <f>SUM(E47,K47)</f>
        <v>4130</v>
      </c>
      <c r="M47" s="216"/>
      <c r="N47" s="216">
        <f>SUM(L47,M47)</f>
        <v>4130</v>
      </c>
      <c r="O47" s="218">
        <v>4</v>
      </c>
    </row>
    <row r="48" spans="1:15" ht="14.25" customHeight="1" thickBot="1">
      <c r="A48" s="220"/>
      <c r="B48" s="221" t="s">
        <v>253</v>
      </c>
      <c r="C48" s="224">
        <f>SUM(C42:C47)</f>
        <v>29136.046000000002</v>
      </c>
      <c r="D48" s="232">
        <f aca="true" t="shared" si="19" ref="D48:O48">SUM(D42:D47)</f>
        <v>16629.897</v>
      </c>
      <c r="E48" s="222">
        <f t="shared" si="19"/>
        <v>45765.943</v>
      </c>
      <c r="F48" s="233">
        <f t="shared" si="19"/>
        <v>12413.842</v>
      </c>
      <c r="G48" s="224">
        <f t="shared" si="19"/>
        <v>584.9159999999999</v>
      </c>
      <c r="H48" s="224">
        <f t="shared" si="19"/>
        <v>24935.207000000002</v>
      </c>
      <c r="I48" s="224">
        <f t="shared" si="19"/>
        <v>0</v>
      </c>
      <c r="J48" s="222">
        <f t="shared" si="19"/>
        <v>24935.207000000002</v>
      </c>
      <c r="K48" s="222">
        <f t="shared" si="19"/>
        <v>37933.965000000004</v>
      </c>
      <c r="L48" s="222">
        <f t="shared" si="19"/>
        <v>83699.908</v>
      </c>
      <c r="M48" s="222">
        <f t="shared" si="19"/>
        <v>3308</v>
      </c>
      <c r="N48" s="222">
        <f t="shared" si="19"/>
        <v>87007.908</v>
      </c>
      <c r="O48" s="223">
        <f t="shared" si="19"/>
        <v>115.42999999999999</v>
      </c>
    </row>
    <row r="49" spans="1:15" ht="13.5" thickBot="1">
      <c r="A49" s="365"/>
      <c r="B49" s="366" t="s">
        <v>471</v>
      </c>
      <c r="C49" s="374">
        <f>ESF!C37</f>
        <v>1729.223</v>
      </c>
      <c r="D49" s="377">
        <f>ESF!D37</f>
        <v>8142.884</v>
      </c>
      <c r="E49" s="376">
        <f>ESF!E37</f>
        <v>9872.107</v>
      </c>
      <c r="F49" s="385">
        <f>ESF!F37</f>
        <v>2993.516</v>
      </c>
      <c r="G49" s="375">
        <f>ESF!G37</f>
        <v>38.939</v>
      </c>
      <c r="H49" s="375">
        <f>ESF!H37</f>
        <v>3869.5090000000005</v>
      </c>
      <c r="I49" s="375">
        <f>ESF!I37</f>
        <v>0</v>
      </c>
      <c r="J49" s="376">
        <f>ESF!J37</f>
        <v>3869.5090000000005</v>
      </c>
      <c r="K49" s="376">
        <f>ESF!K37</f>
        <v>6901.964</v>
      </c>
      <c r="L49" s="376">
        <f>ESF!L37</f>
        <v>16774.071</v>
      </c>
      <c r="M49" s="376">
        <f>ESF!M37</f>
        <v>0</v>
      </c>
      <c r="N49" s="376">
        <f>ESF!N37</f>
        <v>16774.071</v>
      </c>
      <c r="O49" s="386">
        <f>ESF!O37</f>
        <v>6.75</v>
      </c>
    </row>
    <row r="50" spans="1:15" ht="12.75">
      <c r="A50" s="212" t="s">
        <v>254</v>
      </c>
      <c r="B50" s="213" t="s">
        <v>255</v>
      </c>
      <c r="C50" s="135">
        <v>13968</v>
      </c>
      <c r="D50" s="214">
        <v>531</v>
      </c>
      <c r="E50" s="208">
        <f>SUM(C50:D50)</f>
        <v>14499</v>
      </c>
      <c r="F50" s="135">
        <v>5143</v>
      </c>
      <c r="G50" s="115">
        <v>279</v>
      </c>
      <c r="H50" s="115">
        <v>5466</v>
      </c>
      <c r="I50" s="215"/>
      <c r="J50" s="208">
        <f>SUM(H50:I50)</f>
        <v>5466</v>
      </c>
      <c r="K50" s="208">
        <f>SUM(F50,G50,J50)</f>
        <v>10888</v>
      </c>
      <c r="L50" s="216">
        <f>SUM(E50,K50)</f>
        <v>25387</v>
      </c>
      <c r="M50" s="216">
        <v>950</v>
      </c>
      <c r="N50" s="216">
        <f>SUM(L50,M50)</f>
        <v>26337</v>
      </c>
      <c r="O50" s="218">
        <v>49.41</v>
      </c>
    </row>
    <row r="51" spans="1:15" ht="12.75">
      <c r="A51" s="212" t="s">
        <v>256</v>
      </c>
      <c r="B51" s="213" t="s">
        <v>257</v>
      </c>
      <c r="C51" s="135"/>
      <c r="D51" s="214">
        <v>3703</v>
      </c>
      <c r="E51" s="208">
        <f>SUM(C51:D51)</f>
        <v>3703</v>
      </c>
      <c r="F51" s="135">
        <v>253</v>
      </c>
      <c r="G51" s="115"/>
      <c r="H51" s="115">
        <v>991</v>
      </c>
      <c r="I51" s="215"/>
      <c r="J51" s="208">
        <f>SUM(H51:I51)</f>
        <v>991</v>
      </c>
      <c r="K51" s="208">
        <f>SUM(F51,G51,J51)</f>
        <v>1244</v>
      </c>
      <c r="L51" s="216">
        <f>SUM(E51,K51)</f>
        <v>4947</v>
      </c>
      <c r="M51" s="216"/>
      <c r="N51" s="216">
        <f>SUM(L51,M51)</f>
        <v>4947</v>
      </c>
      <c r="O51" s="218"/>
    </row>
    <row r="52" spans="1:15" ht="25.5">
      <c r="A52" s="212" t="s">
        <v>258</v>
      </c>
      <c r="B52" s="213" t="s">
        <v>259</v>
      </c>
      <c r="C52" s="135"/>
      <c r="D52" s="214"/>
      <c r="E52" s="208">
        <f>SUM(C52:D52)</f>
        <v>0</v>
      </c>
      <c r="F52" s="135"/>
      <c r="G52" s="115"/>
      <c r="H52" s="115">
        <v>507</v>
      </c>
      <c r="I52" s="215"/>
      <c r="J52" s="208">
        <f>SUM(H52:I52)</f>
        <v>507</v>
      </c>
      <c r="K52" s="208">
        <f>SUM(F52,G52,J52)</f>
        <v>507</v>
      </c>
      <c r="L52" s="216">
        <f>SUM(E52,K52)</f>
        <v>507</v>
      </c>
      <c r="M52" s="216"/>
      <c r="N52" s="216">
        <f>SUM(L52,M52)</f>
        <v>507</v>
      </c>
      <c r="O52" s="218"/>
    </row>
    <row r="53" spans="1:15" ht="13.5" thickBot="1">
      <c r="A53" s="212" t="s">
        <v>431</v>
      </c>
      <c r="B53" s="213" t="s">
        <v>432</v>
      </c>
      <c r="C53" s="135"/>
      <c r="D53" s="214">
        <v>663</v>
      </c>
      <c r="E53" s="208">
        <f>SUM(C53:D53)</f>
        <v>663</v>
      </c>
      <c r="F53" s="135">
        <v>32</v>
      </c>
      <c r="G53" s="115"/>
      <c r="H53" s="115">
        <v>1605</v>
      </c>
      <c r="I53" s="215"/>
      <c r="J53" s="208">
        <f>SUM(H53:I53)</f>
        <v>1605</v>
      </c>
      <c r="K53" s="208">
        <f>SUM(F53,G53,J53)</f>
        <v>1637</v>
      </c>
      <c r="L53" s="216">
        <f>SUM(E53,K53)</f>
        <v>2300</v>
      </c>
      <c r="M53" s="216"/>
      <c r="N53" s="216">
        <f>SUM(L53,M53)</f>
        <v>2300</v>
      </c>
      <c r="O53" s="218"/>
    </row>
    <row r="54" spans="1:15" ht="14.25" customHeight="1" thickBot="1">
      <c r="A54" s="220"/>
      <c r="B54" s="221" t="s">
        <v>260</v>
      </c>
      <c r="C54" s="233">
        <f aca="true" t="shared" si="20" ref="C54:O54">SUM(C49:C53)</f>
        <v>15697.223</v>
      </c>
      <c r="D54" s="232">
        <f t="shared" si="20"/>
        <v>13039.884</v>
      </c>
      <c r="E54" s="222">
        <f t="shared" si="20"/>
        <v>28737.107</v>
      </c>
      <c r="F54" s="233">
        <f t="shared" si="20"/>
        <v>8421.516</v>
      </c>
      <c r="G54" s="224">
        <f t="shared" si="20"/>
        <v>317.939</v>
      </c>
      <c r="H54" s="224">
        <f t="shared" si="20"/>
        <v>12438.509</v>
      </c>
      <c r="I54" s="224">
        <f t="shared" si="20"/>
        <v>0</v>
      </c>
      <c r="J54" s="222">
        <f t="shared" si="20"/>
        <v>12438.509</v>
      </c>
      <c r="K54" s="222">
        <f t="shared" si="20"/>
        <v>21177.964</v>
      </c>
      <c r="L54" s="222">
        <f t="shared" si="20"/>
        <v>49915.070999999996</v>
      </c>
      <c r="M54" s="222">
        <f t="shared" si="20"/>
        <v>950</v>
      </c>
      <c r="N54" s="222">
        <f t="shared" si="20"/>
        <v>50865.070999999996</v>
      </c>
      <c r="O54" s="223">
        <f t="shared" si="20"/>
        <v>56.16</v>
      </c>
    </row>
    <row r="55" spans="1:15" ht="25.5">
      <c r="A55" s="201" t="s">
        <v>433</v>
      </c>
      <c r="B55" s="202" t="s">
        <v>434</v>
      </c>
      <c r="C55" s="203"/>
      <c r="D55" s="204">
        <v>20</v>
      </c>
      <c r="E55" s="205">
        <f>SUM(C55:D55)</f>
        <v>20</v>
      </c>
      <c r="F55" s="206"/>
      <c r="G55" s="203"/>
      <c r="H55" s="203">
        <v>70</v>
      </c>
      <c r="I55" s="203"/>
      <c r="J55" s="205">
        <f>SUM(H55:I55)</f>
        <v>70</v>
      </c>
      <c r="K55" s="205">
        <f>SUM(F55,G55,J55)</f>
        <v>70</v>
      </c>
      <c r="L55" s="209">
        <f>SUM(E55,K55)</f>
        <v>90</v>
      </c>
      <c r="M55" s="209"/>
      <c r="N55" s="209">
        <f>SUM(L55,M55)</f>
        <v>90</v>
      </c>
      <c r="O55" s="211"/>
    </row>
    <row r="56" spans="1:15" ht="25.5">
      <c r="A56" s="201" t="s">
        <v>435</v>
      </c>
      <c r="B56" s="202" t="s">
        <v>436</v>
      </c>
      <c r="C56" s="203"/>
      <c r="D56" s="204"/>
      <c r="E56" s="205"/>
      <c r="F56" s="206"/>
      <c r="G56" s="203"/>
      <c r="H56" s="203">
        <v>1500</v>
      </c>
      <c r="I56" s="203"/>
      <c r="J56" s="205">
        <f>SUM(H56:I56)</f>
        <v>1500</v>
      </c>
      <c r="K56" s="205">
        <f>SUM(F56,G56,J56)</f>
        <v>1500</v>
      </c>
      <c r="L56" s="209">
        <f>SUM(E56,K56)</f>
        <v>1500</v>
      </c>
      <c r="M56" s="209"/>
      <c r="N56" s="209">
        <f>SUM(L56,M56)</f>
        <v>1500</v>
      </c>
      <c r="O56" s="211"/>
    </row>
    <row r="57" spans="1:15" ht="12.75">
      <c r="A57" s="201" t="s">
        <v>261</v>
      </c>
      <c r="B57" s="202" t="s">
        <v>262</v>
      </c>
      <c r="C57" s="203">
        <v>3947</v>
      </c>
      <c r="D57" s="204">
        <v>809</v>
      </c>
      <c r="E57" s="205">
        <f>SUM(C57:D57)</f>
        <v>4756</v>
      </c>
      <c r="F57" s="206">
        <v>1518</v>
      </c>
      <c r="G57" s="203">
        <v>79</v>
      </c>
      <c r="H57" s="203">
        <v>6443</v>
      </c>
      <c r="I57" s="203"/>
      <c r="J57" s="205">
        <f>SUM(H57:I57)</f>
        <v>6443</v>
      </c>
      <c r="K57" s="205">
        <f>SUM(F57,G57,J57)</f>
        <v>8040</v>
      </c>
      <c r="L57" s="209">
        <f>SUM(E57,K57)</f>
        <v>12796</v>
      </c>
      <c r="M57" s="209">
        <v>60</v>
      </c>
      <c r="N57" s="209">
        <f>SUM(L57,M57)</f>
        <v>12856</v>
      </c>
      <c r="O57" s="211">
        <v>15.24</v>
      </c>
    </row>
    <row r="58" spans="1:15" ht="12.75">
      <c r="A58" s="201" t="s">
        <v>307</v>
      </c>
      <c r="B58" s="202" t="s">
        <v>308</v>
      </c>
      <c r="C58" s="203"/>
      <c r="D58" s="204"/>
      <c r="E58" s="205">
        <f>SUM(C58:D58)</f>
        <v>0</v>
      </c>
      <c r="F58" s="206"/>
      <c r="G58" s="203"/>
      <c r="H58" s="203">
        <v>200</v>
      </c>
      <c r="I58" s="203"/>
      <c r="J58" s="205">
        <f>SUM(H58:I58)</f>
        <v>200</v>
      </c>
      <c r="K58" s="205">
        <f>SUM(F58,G58,J58)</f>
        <v>200</v>
      </c>
      <c r="L58" s="209">
        <f>SUM(E58,K58)</f>
        <v>200</v>
      </c>
      <c r="M58" s="209"/>
      <c r="N58" s="209">
        <f>SUM(L58,M58)</f>
        <v>200</v>
      </c>
      <c r="O58" s="211"/>
    </row>
    <row r="59" spans="1:15" ht="26.25" thickBot="1">
      <c r="A59" s="201" t="s">
        <v>263</v>
      </c>
      <c r="B59" s="202" t="s">
        <v>264</v>
      </c>
      <c r="C59" s="203"/>
      <c r="D59" s="204"/>
      <c r="E59" s="205">
        <f>SUM(C59:D59)</f>
        <v>0</v>
      </c>
      <c r="F59" s="206"/>
      <c r="G59" s="203"/>
      <c r="H59" s="203">
        <v>203</v>
      </c>
      <c r="I59" s="203"/>
      <c r="J59" s="205">
        <f>SUM(H59:I59)</f>
        <v>203</v>
      </c>
      <c r="K59" s="205">
        <f>SUM(F59,G59,J59)</f>
        <v>203</v>
      </c>
      <c r="L59" s="209">
        <f>SUM(E59,K59)</f>
        <v>203</v>
      </c>
      <c r="M59" s="209"/>
      <c r="N59" s="209">
        <f>SUM(L59,M59)</f>
        <v>203</v>
      </c>
      <c r="O59" s="211"/>
    </row>
    <row r="60" spans="1:15" ht="14.25" customHeight="1" thickBot="1">
      <c r="A60" s="220"/>
      <c r="B60" s="221" t="s">
        <v>265</v>
      </c>
      <c r="C60" s="224">
        <f aca="true" t="shared" si="21" ref="C60:O60">SUM(C55:C59)</f>
        <v>3947</v>
      </c>
      <c r="D60" s="232">
        <f t="shared" si="21"/>
        <v>829</v>
      </c>
      <c r="E60" s="222">
        <f t="shared" si="21"/>
        <v>4776</v>
      </c>
      <c r="F60" s="233">
        <f t="shared" si="21"/>
        <v>1518</v>
      </c>
      <c r="G60" s="224">
        <f t="shared" si="21"/>
        <v>79</v>
      </c>
      <c r="H60" s="224">
        <f t="shared" si="21"/>
        <v>8416</v>
      </c>
      <c r="I60" s="224">
        <f t="shared" si="21"/>
        <v>0</v>
      </c>
      <c r="J60" s="222">
        <f t="shared" si="21"/>
        <v>8416</v>
      </c>
      <c r="K60" s="222">
        <f t="shared" si="21"/>
        <v>10013</v>
      </c>
      <c r="L60" s="222">
        <f t="shared" si="21"/>
        <v>14789</v>
      </c>
      <c r="M60" s="222">
        <f t="shared" si="21"/>
        <v>60</v>
      </c>
      <c r="N60" s="222">
        <f t="shared" si="21"/>
        <v>14849</v>
      </c>
      <c r="O60" s="223">
        <f t="shared" si="21"/>
        <v>15.24</v>
      </c>
    </row>
    <row r="61" spans="1:15" ht="13.5" thickBot="1">
      <c r="A61" s="365"/>
      <c r="B61" s="366" t="s">
        <v>476</v>
      </c>
      <c r="C61" s="374">
        <f>ESF!C42</f>
        <v>0</v>
      </c>
      <c r="D61" s="377">
        <f>ESF!D42</f>
        <v>235</v>
      </c>
      <c r="E61" s="376">
        <f>ESF!E42</f>
        <v>235</v>
      </c>
      <c r="F61" s="385">
        <f>ESF!F42</f>
        <v>15.749</v>
      </c>
      <c r="G61" s="375">
        <f>ESF!G42</f>
        <v>0</v>
      </c>
      <c r="H61" s="375">
        <f>ESF!H42</f>
        <v>1692.1660000000002</v>
      </c>
      <c r="I61" s="375">
        <f>ESF!I42</f>
        <v>0</v>
      </c>
      <c r="J61" s="376">
        <f>ESF!J42</f>
        <v>1692.1660000000002</v>
      </c>
      <c r="K61" s="376">
        <f>ESF!K42</f>
        <v>1707.915</v>
      </c>
      <c r="L61" s="376">
        <f>ESF!L42</f>
        <v>1942.915</v>
      </c>
      <c r="M61" s="376">
        <f>ESF!M42</f>
        <v>0</v>
      </c>
      <c r="N61" s="376">
        <f>ESF!N42</f>
        <v>1942.915</v>
      </c>
      <c r="O61" s="386">
        <f>ESF!O42</f>
        <v>0</v>
      </c>
    </row>
    <row r="62" spans="1:15" ht="25.5">
      <c r="A62" s="201" t="s">
        <v>309</v>
      </c>
      <c r="B62" s="202" t="s">
        <v>441</v>
      </c>
      <c r="C62" s="203">
        <v>30</v>
      </c>
      <c r="D62" s="204"/>
      <c r="E62" s="208">
        <f aca="true" t="shared" si="22" ref="E62:E67">SUM(C62:D62)</f>
        <v>30</v>
      </c>
      <c r="F62" s="206">
        <v>10</v>
      </c>
      <c r="G62" s="203">
        <v>1</v>
      </c>
      <c r="H62" s="203">
        <v>48</v>
      </c>
      <c r="I62" s="203"/>
      <c r="J62" s="208">
        <f aca="true" t="shared" si="23" ref="J62:J67">SUM(H62:I62)</f>
        <v>48</v>
      </c>
      <c r="K62" s="208">
        <f aca="true" t="shared" si="24" ref="K62:K67">SUM(F62,G62,J62)</f>
        <v>59</v>
      </c>
      <c r="L62" s="216">
        <f aca="true" t="shared" si="25" ref="L62:L67">SUM(E62,K62)</f>
        <v>89</v>
      </c>
      <c r="M62" s="216"/>
      <c r="N62" s="216">
        <f aca="true" t="shared" si="26" ref="N62:N67">SUM(L62,M62)</f>
        <v>89</v>
      </c>
      <c r="O62" s="211">
        <v>0.2</v>
      </c>
    </row>
    <row r="63" spans="1:15" ht="25.5">
      <c r="A63" s="201" t="s">
        <v>310</v>
      </c>
      <c r="B63" s="202" t="s">
        <v>311</v>
      </c>
      <c r="C63" s="203"/>
      <c r="D63" s="204">
        <v>40</v>
      </c>
      <c r="E63" s="208">
        <f t="shared" si="22"/>
        <v>40</v>
      </c>
      <c r="F63" s="206"/>
      <c r="G63" s="203"/>
      <c r="H63" s="203">
        <v>480</v>
      </c>
      <c r="I63" s="203"/>
      <c r="J63" s="208">
        <f t="shared" si="23"/>
        <v>480</v>
      </c>
      <c r="K63" s="208">
        <f t="shared" si="24"/>
        <v>480</v>
      </c>
      <c r="L63" s="216">
        <f t="shared" si="25"/>
        <v>520</v>
      </c>
      <c r="M63" s="216"/>
      <c r="N63" s="216">
        <f t="shared" si="26"/>
        <v>520</v>
      </c>
      <c r="O63" s="211"/>
    </row>
    <row r="64" spans="1:15" ht="12.75">
      <c r="A64" s="201" t="s">
        <v>442</v>
      </c>
      <c r="B64" s="202" t="s">
        <v>312</v>
      </c>
      <c r="C64" s="203"/>
      <c r="D64" s="204">
        <v>435</v>
      </c>
      <c r="E64" s="208">
        <f t="shared" si="22"/>
        <v>435</v>
      </c>
      <c r="F64" s="206"/>
      <c r="G64" s="203"/>
      <c r="H64" s="203">
        <v>2066</v>
      </c>
      <c r="I64" s="203"/>
      <c r="J64" s="208">
        <f t="shared" si="23"/>
        <v>2066</v>
      </c>
      <c r="K64" s="208">
        <f t="shared" si="24"/>
        <v>2066</v>
      </c>
      <c r="L64" s="216">
        <f t="shared" si="25"/>
        <v>2501</v>
      </c>
      <c r="M64" s="216"/>
      <c r="N64" s="216">
        <f t="shared" si="26"/>
        <v>2501</v>
      </c>
      <c r="O64" s="211"/>
    </row>
    <row r="65" spans="1:15" ht="12.75">
      <c r="A65" s="201" t="s">
        <v>266</v>
      </c>
      <c r="B65" s="202" t="s">
        <v>267</v>
      </c>
      <c r="C65" s="203">
        <v>14080</v>
      </c>
      <c r="D65" s="204">
        <v>2250</v>
      </c>
      <c r="E65" s="208">
        <f t="shared" si="22"/>
        <v>16330</v>
      </c>
      <c r="F65" s="206">
        <v>5456</v>
      </c>
      <c r="G65" s="203">
        <v>282</v>
      </c>
      <c r="H65" s="203">
        <v>4497</v>
      </c>
      <c r="I65" s="203"/>
      <c r="J65" s="208">
        <f t="shared" si="23"/>
        <v>4497</v>
      </c>
      <c r="K65" s="208">
        <f t="shared" si="24"/>
        <v>10235</v>
      </c>
      <c r="L65" s="216">
        <f t="shared" si="25"/>
        <v>26565</v>
      </c>
      <c r="M65" s="216">
        <v>8985</v>
      </c>
      <c r="N65" s="216">
        <f t="shared" si="26"/>
        <v>35550</v>
      </c>
      <c r="O65" s="211">
        <v>64</v>
      </c>
    </row>
    <row r="66" spans="1:15" ht="12.75">
      <c r="A66" s="201" t="s">
        <v>268</v>
      </c>
      <c r="B66" s="202" t="s">
        <v>269</v>
      </c>
      <c r="C66" s="203">
        <v>300</v>
      </c>
      <c r="D66" s="204">
        <v>730</v>
      </c>
      <c r="E66" s="208">
        <f t="shared" si="22"/>
        <v>1030</v>
      </c>
      <c r="F66" s="206">
        <v>263</v>
      </c>
      <c r="G66" s="203">
        <v>6</v>
      </c>
      <c r="H66" s="203">
        <v>5925</v>
      </c>
      <c r="I66" s="203"/>
      <c r="J66" s="208">
        <f t="shared" si="23"/>
        <v>5925</v>
      </c>
      <c r="K66" s="208">
        <f t="shared" si="24"/>
        <v>6194</v>
      </c>
      <c r="L66" s="216">
        <f t="shared" si="25"/>
        <v>7224</v>
      </c>
      <c r="M66" s="216">
        <v>5844</v>
      </c>
      <c r="N66" s="216">
        <f t="shared" si="26"/>
        <v>13068</v>
      </c>
      <c r="O66" s="211">
        <v>14</v>
      </c>
    </row>
    <row r="67" spans="1:15" ht="13.5" thickBot="1">
      <c r="A67" s="201" t="s">
        <v>270</v>
      </c>
      <c r="B67" s="202" t="s">
        <v>271</v>
      </c>
      <c r="C67" s="203"/>
      <c r="D67" s="204">
        <v>1539</v>
      </c>
      <c r="E67" s="208">
        <f t="shared" si="22"/>
        <v>1539</v>
      </c>
      <c r="F67" s="206">
        <v>175</v>
      </c>
      <c r="G67" s="203"/>
      <c r="H67" s="203">
        <v>4688</v>
      </c>
      <c r="I67" s="203"/>
      <c r="J67" s="208">
        <f t="shared" si="23"/>
        <v>4688</v>
      </c>
      <c r="K67" s="208">
        <f t="shared" si="24"/>
        <v>4863</v>
      </c>
      <c r="L67" s="216">
        <f t="shared" si="25"/>
        <v>6402</v>
      </c>
      <c r="M67" s="216">
        <v>2538</v>
      </c>
      <c r="N67" s="216">
        <f t="shared" si="26"/>
        <v>8940</v>
      </c>
      <c r="O67" s="211"/>
    </row>
    <row r="68" spans="1:15" ht="14.25" customHeight="1" thickBot="1">
      <c r="A68" s="220"/>
      <c r="B68" s="221" t="s">
        <v>272</v>
      </c>
      <c r="C68" s="222">
        <f aca="true" t="shared" si="27" ref="C68:O68">SUM(C61:C67)</f>
        <v>14410</v>
      </c>
      <c r="D68" s="222">
        <f t="shared" si="27"/>
        <v>5229</v>
      </c>
      <c r="E68" s="222">
        <f t="shared" si="27"/>
        <v>19639</v>
      </c>
      <c r="F68" s="222">
        <f t="shared" si="27"/>
        <v>5919.749</v>
      </c>
      <c r="G68" s="222">
        <f t="shared" si="27"/>
        <v>289</v>
      </c>
      <c r="H68" s="222">
        <f t="shared" si="27"/>
        <v>19396.166</v>
      </c>
      <c r="I68" s="222">
        <f t="shared" si="27"/>
        <v>0</v>
      </c>
      <c r="J68" s="222">
        <f t="shared" si="27"/>
        <v>19396.166</v>
      </c>
      <c r="K68" s="222">
        <f t="shared" si="27"/>
        <v>25604.915</v>
      </c>
      <c r="L68" s="222">
        <f t="shared" si="27"/>
        <v>45243.915</v>
      </c>
      <c r="M68" s="222">
        <f t="shared" si="27"/>
        <v>17367</v>
      </c>
      <c r="N68" s="222">
        <f t="shared" si="27"/>
        <v>62610.915</v>
      </c>
      <c r="O68" s="223">
        <f t="shared" si="27"/>
        <v>78.2</v>
      </c>
    </row>
    <row r="69" spans="1:15" ht="12.75">
      <c r="A69" s="201" t="s">
        <v>443</v>
      </c>
      <c r="B69" s="202" t="s">
        <v>444</v>
      </c>
      <c r="C69" s="203"/>
      <c r="D69" s="204"/>
      <c r="E69" s="205">
        <f>SUM(C69:D69)</f>
        <v>0</v>
      </c>
      <c r="F69" s="206"/>
      <c r="G69" s="203"/>
      <c r="H69" s="203">
        <v>0</v>
      </c>
      <c r="I69" s="203"/>
      <c r="J69" s="205">
        <f>SUM(H69:I69)</f>
        <v>0</v>
      </c>
      <c r="K69" s="205">
        <f>SUM(F69,G69,J69)</f>
        <v>0</v>
      </c>
      <c r="L69" s="209">
        <f>SUM(E69,K69)</f>
        <v>0</v>
      </c>
      <c r="M69" s="209">
        <v>5866</v>
      </c>
      <c r="N69" s="209">
        <f>SUM(L69,M69)</f>
        <v>5866</v>
      </c>
      <c r="O69" s="211"/>
    </row>
    <row r="70" spans="1:15" ht="12.75">
      <c r="A70" s="212" t="s">
        <v>273</v>
      </c>
      <c r="B70" s="213" t="s">
        <v>274</v>
      </c>
      <c r="C70" s="115">
        <v>33570</v>
      </c>
      <c r="D70" s="214">
        <v>203</v>
      </c>
      <c r="E70" s="208">
        <f>SUM(C70:D70)</f>
        <v>33773</v>
      </c>
      <c r="F70" s="135">
        <v>11750</v>
      </c>
      <c r="G70" s="115">
        <v>671</v>
      </c>
      <c r="H70" s="115">
        <v>14228</v>
      </c>
      <c r="I70" s="115">
        <v>87000</v>
      </c>
      <c r="J70" s="208">
        <f>SUM(H70:I70)</f>
        <v>101228</v>
      </c>
      <c r="K70" s="208">
        <f>SUM(F70,G70,J70)</f>
        <v>113649</v>
      </c>
      <c r="L70" s="216">
        <f>SUM(E70,K70)</f>
        <v>147422</v>
      </c>
      <c r="M70" s="216"/>
      <c r="N70" s="216">
        <f>SUM(L70,M70)</f>
        <v>147422</v>
      </c>
      <c r="O70" s="218">
        <v>147.79</v>
      </c>
    </row>
    <row r="71" spans="1:15" ht="12.75">
      <c r="A71" s="212" t="s">
        <v>275</v>
      </c>
      <c r="B71" s="213" t="s">
        <v>276</v>
      </c>
      <c r="C71" s="115"/>
      <c r="D71" s="214"/>
      <c r="E71" s="208">
        <f>SUM(C71:D71)</f>
        <v>0</v>
      </c>
      <c r="F71" s="135"/>
      <c r="G71" s="115"/>
      <c r="H71" s="115">
        <v>54275</v>
      </c>
      <c r="I71" s="115"/>
      <c r="J71" s="208">
        <f>SUM(H71:I71)</f>
        <v>54275</v>
      </c>
      <c r="K71" s="208">
        <f>SUM(F71,G71,J71)</f>
        <v>54275</v>
      </c>
      <c r="L71" s="216">
        <f>SUM(E71,K71)</f>
        <v>54275</v>
      </c>
      <c r="M71" s="216"/>
      <c r="N71" s="216">
        <f>SUM(L71,M71)</f>
        <v>54275</v>
      </c>
      <c r="O71" s="218"/>
    </row>
    <row r="72" spans="1:15" ht="25.5">
      <c r="A72" s="212" t="s">
        <v>277</v>
      </c>
      <c r="B72" s="213" t="s">
        <v>278</v>
      </c>
      <c r="C72" s="115"/>
      <c r="D72" s="214">
        <v>32</v>
      </c>
      <c r="E72" s="208">
        <f>SUM(C72:D72)</f>
        <v>32</v>
      </c>
      <c r="F72" s="135"/>
      <c r="G72" s="115"/>
      <c r="H72" s="115">
        <v>347</v>
      </c>
      <c r="I72" s="115"/>
      <c r="J72" s="208">
        <f>SUM(H72:I72)</f>
        <v>347</v>
      </c>
      <c r="K72" s="208">
        <f>SUM(F72,G72,J72)</f>
        <v>347</v>
      </c>
      <c r="L72" s="216">
        <f>SUM(E72,K72)</f>
        <v>379</v>
      </c>
      <c r="M72" s="216"/>
      <c r="N72" s="216">
        <f>SUM(L72,M72)</f>
        <v>379</v>
      </c>
      <c r="O72" s="218"/>
    </row>
    <row r="73" spans="1:15" ht="13.5" thickBot="1">
      <c r="A73" s="201" t="s">
        <v>279</v>
      </c>
      <c r="B73" s="202" t="s">
        <v>280</v>
      </c>
      <c r="C73" s="203">
        <v>20</v>
      </c>
      <c r="D73" s="204"/>
      <c r="E73" s="205">
        <f>SUM(C73:D73)</f>
        <v>20</v>
      </c>
      <c r="F73" s="206">
        <v>8</v>
      </c>
      <c r="G73" s="203">
        <v>1</v>
      </c>
      <c r="H73" s="203">
        <v>15249</v>
      </c>
      <c r="I73" s="203"/>
      <c r="J73" s="205">
        <f>SUM(H73:I73)</f>
        <v>15249</v>
      </c>
      <c r="K73" s="205">
        <f>SUM(F73,G73,J73)</f>
        <v>15258</v>
      </c>
      <c r="L73" s="209">
        <f>SUM(E73,K73)</f>
        <v>15278</v>
      </c>
      <c r="M73" s="209"/>
      <c r="N73" s="209">
        <f>SUM(L73,M73)</f>
        <v>15278</v>
      </c>
      <c r="O73" s="211"/>
    </row>
    <row r="74" spans="1:15" ht="14.25" customHeight="1" thickBot="1">
      <c r="A74" s="220"/>
      <c r="B74" s="221" t="s">
        <v>281</v>
      </c>
      <c r="C74" s="224">
        <f aca="true" t="shared" si="28" ref="C74:O74">SUM(C69:C73)</f>
        <v>33590</v>
      </c>
      <c r="D74" s="232">
        <f t="shared" si="28"/>
        <v>235</v>
      </c>
      <c r="E74" s="222">
        <f t="shared" si="28"/>
        <v>33825</v>
      </c>
      <c r="F74" s="233">
        <f t="shared" si="28"/>
        <v>11758</v>
      </c>
      <c r="G74" s="224">
        <f t="shared" si="28"/>
        <v>672</v>
      </c>
      <c r="H74" s="224">
        <f t="shared" si="28"/>
        <v>84099</v>
      </c>
      <c r="I74" s="224">
        <f t="shared" si="28"/>
        <v>87000</v>
      </c>
      <c r="J74" s="222">
        <f t="shared" si="28"/>
        <v>171099</v>
      </c>
      <c r="K74" s="222">
        <f t="shared" si="28"/>
        <v>183529</v>
      </c>
      <c r="L74" s="222">
        <f t="shared" si="28"/>
        <v>217354</v>
      </c>
      <c r="M74" s="222">
        <f t="shared" si="28"/>
        <v>5866</v>
      </c>
      <c r="N74" s="222">
        <f t="shared" si="28"/>
        <v>223220</v>
      </c>
      <c r="O74" s="223">
        <f t="shared" si="28"/>
        <v>147.79</v>
      </c>
    </row>
    <row r="75" spans="1:15" ht="12.75">
      <c r="A75" s="201" t="s">
        <v>282</v>
      </c>
      <c r="B75" s="202" t="s">
        <v>283</v>
      </c>
      <c r="C75" s="240"/>
      <c r="D75" s="241"/>
      <c r="E75" s="242">
        <f>SUM(C75:D75)</f>
        <v>0</v>
      </c>
      <c r="F75" s="243"/>
      <c r="G75" s="240"/>
      <c r="H75" s="203">
        <v>7046</v>
      </c>
      <c r="I75" s="203"/>
      <c r="J75" s="205">
        <f>SUM(H75:I75)</f>
        <v>7046</v>
      </c>
      <c r="K75" s="205">
        <f>SUM(F75,G75,J75)</f>
        <v>7046</v>
      </c>
      <c r="L75" s="244">
        <f>SUM(E75,K75)</f>
        <v>7046</v>
      </c>
      <c r="M75" s="244">
        <v>120</v>
      </c>
      <c r="N75" s="244">
        <f>SUM(L75,M75)</f>
        <v>7166</v>
      </c>
      <c r="O75" s="245"/>
    </row>
    <row r="76" spans="1:15" ht="13.5" thickBot="1">
      <c r="A76" s="201" t="s">
        <v>445</v>
      </c>
      <c r="B76" s="213" t="s">
        <v>446</v>
      </c>
      <c r="C76" s="115"/>
      <c r="D76" s="214"/>
      <c r="E76" s="208">
        <f>SUM(C76:D76)</f>
        <v>0</v>
      </c>
      <c r="F76" s="135"/>
      <c r="G76" s="115"/>
      <c r="H76" s="115">
        <v>5500</v>
      </c>
      <c r="I76" s="115"/>
      <c r="J76" s="208">
        <f>SUM(H76:I76)</f>
        <v>5500</v>
      </c>
      <c r="K76" s="208">
        <f>SUM(F76,G76,J76)</f>
        <v>5500</v>
      </c>
      <c r="L76" s="216">
        <f>SUM(E76,K76)</f>
        <v>5500</v>
      </c>
      <c r="M76" s="216"/>
      <c r="N76" s="216">
        <f>SUM(L76,M76)</f>
        <v>5500</v>
      </c>
      <c r="O76" s="218"/>
    </row>
    <row r="77" spans="1:15" ht="15" customHeight="1" thickBot="1">
      <c r="A77" s="220"/>
      <c r="B77" s="221" t="s">
        <v>284</v>
      </c>
      <c r="C77" s="224">
        <f aca="true" t="shared" si="29" ref="C77:O77">SUM(C75:C76)</f>
        <v>0</v>
      </c>
      <c r="D77" s="232">
        <f t="shared" si="29"/>
        <v>0</v>
      </c>
      <c r="E77" s="222">
        <f t="shared" si="29"/>
        <v>0</v>
      </c>
      <c r="F77" s="233">
        <f t="shared" si="29"/>
        <v>0</v>
      </c>
      <c r="G77" s="224">
        <f t="shared" si="29"/>
        <v>0</v>
      </c>
      <c r="H77" s="224">
        <f t="shared" si="29"/>
        <v>12546</v>
      </c>
      <c r="I77" s="224">
        <f t="shared" si="29"/>
        <v>0</v>
      </c>
      <c r="J77" s="222">
        <f t="shared" si="29"/>
        <v>12546</v>
      </c>
      <c r="K77" s="222">
        <f t="shared" si="29"/>
        <v>12546</v>
      </c>
      <c r="L77" s="222">
        <f t="shared" si="29"/>
        <v>12546</v>
      </c>
      <c r="M77" s="222">
        <f t="shared" si="29"/>
        <v>120</v>
      </c>
      <c r="N77" s="222">
        <f t="shared" si="29"/>
        <v>12666</v>
      </c>
      <c r="O77" s="223">
        <f t="shared" si="29"/>
        <v>0</v>
      </c>
    </row>
    <row r="78" spans="1:19" s="179" customFormat="1" ht="13.5" thickBot="1">
      <c r="A78" s="365"/>
      <c r="B78" s="366" t="s">
        <v>477</v>
      </c>
      <c r="C78" s="374">
        <f>ESF!C45</f>
        <v>1641.8580000000002</v>
      </c>
      <c r="D78" s="377">
        <f>ESF!D45</f>
        <v>2803.356</v>
      </c>
      <c r="E78" s="376">
        <f>ESF!E45</f>
        <v>4445.214</v>
      </c>
      <c r="F78" s="385">
        <f>ESF!F45</f>
        <v>904.016</v>
      </c>
      <c r="G78" s="375">
        <f>ESF!G45</f>
        <v>31.479999999999997</v>
      </c>
      <c r="H78" s="375">
        <f>ESF!H45</f>
        <v>5086.740000000001</v>
      </c>
      <c r="I78" s="377">
        <f>ESF!I45</f>
        <v>0</v>
      </c>
      <c r="J78" s="376">
        <f>ESF!J45</f>
        <v>5086.740000000001</v>
      </c>
      <c r="K78" s="376">
        <f>ESF!K45</f>
        <v>6022.236000000001</v>
      </c>
      <c r="L78" s="376">
        <f>ESF!L45</f>
        <v>10467.45</v>
      </c>
      <c r="M78" s="376">
        <f>ESF!M45</f>
        <v>0</v>
      </c>
      <c r="N78" s="376">
        <f>ESF!N45</f>
        <v>10467.45</v>
      </c>
      <c r="O78" s="386">
        <f>ESF!O45</f>
        <v>8.55</v>
      </c>
      <c r="P78"/>
      <c r="Q78"/>
      <c r="R78"/>
      <c r="S78"/>
    </row>
    <row r="79" spans="1:19" s="179" customFormat="1" ht="12.75">
      <c r="A79" s="234" t="s">
        <v>451</v>
      </c>
      <c r="B79" s="235" t="s">
        <v>452</v>
      </c>
      <c r="C79" s="236"/>
      <c r="D79" s="237">
        <v>2830</v>
      </c>
      <c r="E79" s="208">
        <f>SUM(C79:D79)</f>
        <v>2830</v>
      </c>
      <c r="F79" s="135"/>
      <c r="G79" s="115"/>
      <c r="H79" s="115">
        <v>170</v>
      </c>
      <c r="I79" s="115"/>
      <c r="J79" s="208">
        <f>SUM(H79:I79)</f>
        <v>170</v>
      </c>
      <c r="K79" s="208">
        <f>SUM(F79,G79,J79)</f>
        <v>170</v>
      </c>
      <c r="L79" s="216">
        <f>SUM(E79,K79)</f>
        <v>3000</v>
      </c>
      <c r="M79" s="216"/>
      <c r="N79" s="216">
        <f>SUM(L79,M79)</f>
        <v>3000</v>
      </c>
      <c r="O79" s="239"/>
      <c r="P79"/>
      <c r="Q79"/>
      <c r="R79"/>
      <c r="S79"/>
    </row>
    <row r="80" spans="1:19" s="179" customFormat="1" ht="25.5">
      <c r="A80" s="234" t="s">
        <v>313</v>
      </c>
      <c r="B80" s="235" t="s">
        <v>453</v>
      </c>
      <c r="C80" s="236">
        <v>5</v>
      </c>
      <c r="D80" s="237"/>
      <c r="E80" s="208">
        <f>SUM(C80:D80)</f>
        <v>5</v>
      </c>
      <c r="F80" s="135">
        <v>2</v>
      </c>
      <c r="G80" s="115"/>
      <c r="H80" s="115"/>
      <c r="I80" s="115"/>
      <c r="J80" s="208">
        <f>SUM(H80:I80)</f>
        <v>0</v>
      </c>
      <c r="K80" s="208">
        <f>SUM(F80,G80,J80)</f>
        <v>2</v>
      </c>
      <c r="L80" s="216">
        <f>SUM(E80,K80)</f>
        <v>7</v>
      </c>
      <c r="M80" s="216"/>
      <c r="N80" s="216">
        <f>SUM(L80,M80)</f>
        <v>7</v>
      </c>
      <c r="O80" s="239">
        <v>0.2</v>
      </c>
      <c r="P80"/>
      <c r="Q80"/>
      <c r="R80"/>
      <c r="S80"/>
    </row>
    <row r="81" spans="1:15" ht="12.75">
      <c r="A81" s="212" t="s">
        <v>285</v>
      </c>
      <c r="B81" s="213" t="s">
        <v>286</v>
      </c>
      <c r="C81" s="115">
        <v>21101</v>
      </c>
      <c r="D81" s="214">
        <v>12851</v>
      </c>
      <c r="E81" s="208">
        <f>SUM(C81:D81)</f>
        <v>33952</v>
      </c>
      <c r="F81" s="135">
        <v>9045</v>
      </c>
      <c r="G81" s="115">
        <v>422</v>
      </c>
      <c r="H81" s="115">
        <v>8515</v>
      </c>
      <c r="I81" s="115"/>
      <c r="J81" s="208">
        <f>SUM(H81:I81)</f>
        <v>8515</v>
      </c>
      <c r="K81" s="208">
        <f>SUM(F81,G81,J81)</f>
        <v>17982</v>
      </c>
      <c r="L81" s="216">
        <f>SUM(E81,K81)</f>
        <v>51934</v>
      </c>
      <c r="M81" s="216">
        <v>26742</v>
      </c>
      <c r="N81" s="216">
        <f>SUM(L81,M81)</f>
        <v>78676</v>
      </c>
      <c r="O81" s="218">
        <v>83.05</v>
      </c>
    </row>
    <row r="82" spans="1:15" ht="13.5" thickBot="1">
      <c r="A82" s="212" t="s">
        <v>454</v>
      </c>
      <c r="B82" s="213" t="s">
        <v>455</v>
      </c>
      <c r="C82" s="115">
        <v>1397</v>
      </c>
      <c r="D82" s="214">
        <v>2449</v>
      </c>
      <c r="E82" s="208">
        <f>SUM(C82:D82)</f>
        <v>3846</v>
      </c>
      <c r="F82" s="135">
        <v>19</v>
      </c>
      <c r="G82" s="115">
        <v>28</v>
      </c>
      <c r="H82" s="115"/>
      <c r="I82" s="115"/>
      <c r="J82" s="208">
        <f>SUM(H82:I82)</f>
        <v>0</v>
      </c>
      <c r="K82" s="208">
        <f>SUM(F82,G82,J82)</f>
        <v>47</v>
      </c>
      <c r="L82" s="216">
        <f>SUM(E82,K82)</f>
        <v>3893</v>
      </c>
      <c r="M82" s="216">
        <v>2382</v>
      </c>
      <c r="N82" s="216">
        <f>SUM(L82,M82)</f>
        <v>6275</v>
      </c>
      <c r="O82" s="218">
        <v>5.5</v>
      </c>
    </row>
    <row r="83" spans="1:15" ht="14.25" customHeight="1" thickBot="1">
      <c r="A83" s="220"/>
      <c r="B83" s="221" t="s">
        <v>287</v>
      </c>
      <c r="C83" s="224">
        <f aca="true" t="shared" si="30" ref="C83:O83">SUM(C78:C82)</f>
        <v>24144.858</v>
      </c>
      <c r="D83" s="232">
        <f t="shared" si="30"/>
        <v>20933.356</v>
      </c>
      <c r="E83" s="222">
        <f t="shared" si="30"/>
        <v>45078.214</v>
      </c>
      <c r="F83" s="233">
        <f t="shared" si="30"/>
        <v>9970.016</v>
      </c>
      <c r="G83" s="224">
        <f t="shared" si="30"/>
        <v>481.48</v>
      </c>
      <c r="H83" s="224">
        <f t="shared" si="30"/>
        <v>13771.740000000002</v>
      </c>
      <c r="I83" s="224">
        <f t="shared" si="30"/>
        <v>0</v>
      </c>
      <c r="J83" s="222">
        <f t="shared" si="30"/>
        <v>13771.740000000002</v>
      </c>
      <c r="K83" s="222">
        <f t="shared" si="30"/>
        <v>24223.236</v>
      </c>
      <c r="L83" s="222">
        <f t="shared" si="30"/>
        <v>69301.45</v>
      </c>
      <c r="M83" s="222">
        <f t="shared" si="30"/>
        <v>29124</v>
      </c>
      <c r="N83" s="222">
        <f t="shared" si="30"/>
        <v>98425.45</v>
      </c>
      <c r="O83" s="223">
        <f t="shared" si="30"/>
        <v>97.3</v>
      </c>
    </row>
    <row r="84" spans="1:15" ht="13.5" thickBot="1">
      <c r="A84" s="212" t="s">
        <v>288</v>
      </c>
      <c r="B84" s="213" t="s">
        <v>289</v>
      </c>
      <c r="C84" s="115">
        <v>1459</v>
      </c>
      <c r="D84" s="214">
        <v>1015</v>
      </c>
      <c r="E84" s="208">
        <f>SUM(C84:D84)</f>
        <v>2474</v>
      </c>
      <c r="F84" s="135">
        <v>771</v>
      </c>
      <c r="G84" s="115">
        <v>29</v>
      </c>
      <c r="H84" s="115">
        <v>2095</v>
      </c>
      <c r="I84" s="115"/>
      <c r="J84" s="208">
        <f>SUM(H84:I84)</f>
        <v>2095</v>
      </c>
      <c r="K84" s="208">
        <f>SUM(F84,G84,J84)</f>
        <v>2895</v>
      </c>
      <c r="L84" s="216">
        <f>SUM(E84,K84)</f>
        <v>5369</v>
      </c>
      <c r="M84" s="216">
        <v>1010</v>
      </c>
      <c r="N84" s="216">
        <f>SUM(L84,M84)</f>
        <v>6379</v>
      </c>
      <c r="O84" s="218">
        <v>5.66</v>
      </c>
    </row>
    <row r="85" spans="1:15" ht="14.25" customHeight="1" thickBot="1">
      <c r="A85" s="220"/>
      <c r="B85" s="221" t="s">
        <v>290</v>
      </c>
      <c r="C85" s="224">
        <f aca="true" t="shared" si="31" ref="C85:O85">SUM(C84:C84)</f>
        <v>1459</v>
      </c>
      <c r="D85" s="232">
        <f t="shared" si="31"/>
        <v>1015</v>
      </c>
      <c r="E85" s="222">
        <f t="shared" si="31"/>
        <v>2474</v>
      </c>
      <c r="F85" s="233">
        <f t="shared" si="31"/>
        <v>771</v>
      </c>
      <c r="G85" s="224">
        <f t="shared" si="31"/>
        <v>29</v>
      </c>
      <c r="H85" s="224">
        <f t="shared" si="31"/>
        <v>2095</v>
      </c>
      <c r="I85" s="224">
        <f t="shared" si="31"/>
        <v>0</v>
      </c>
      <c r="J85" s="222">
        <f t="shared" si="31"/>
        <v>2095</v>
      </c>
      <c r="K85" s="222">
        <f t="shared" si="31"/>
        <v>2895</v>
      </c>
      <c r="L85" s="222">
        <f t="shared" si="31"/>
        <v>5369</v>
      </c>
      <c r="M85" s="222">
        <f t="shared" si="31"/>
        <v>1010</v>
      </c>
      <c r="N85" s="222">
        <f t="shared" si="31"/>
        <v>6379</v>
      </c>
      <c r="O85" s="223">
        <f t="shared" si="31"/>
        <v>5.66</v>
      </c>
    </row>
    <row r="86" spans="1:15" ht="14.25" customHeight="1" thickBot="1">
      <c r="A86" s="365"/>
      <c r="B86" s="366" t="s">
        <v>486</v>
      </c>
      <c r="C86" s="367">
        <f>ESF!C52</f>
        <v>0</v>
      </c>
      <c r="D86" s="367">
        <f>ESF!D52</f>
        <v>0</v>
      </c>
      <c r="E86" s="367">
        <f>ESF!E52</f>
        <v>0</v>
      </c>
      <c r="F86" s="367">
        <f>ESF!F52</f>
        <v>0</v>
      </c>
      <c r="G86" s="367">
        <f>ESF!G52</f>
        <v>0</v>
      </c>
      <c r="H86" s="367">
        <f>ESF!H52</f>
        <v>182.83</v>
      </c>
      <c r="I86" s="367">
        <f>ESF!I52</f>
        <v>0</v>
      </c>
      <c r="J86" s="367">
        <f>ESF!J52</f>
        <v>182.83</v>
      </c>
      <c r="K86" s="367">
        <f>ESF!K52</f>
        <v>182.83</v>
      </c>
      <c r="L86" s="367">
        <f>ESF!L52</f>
        <v>182.83</v>
      </c>
      <c r="M86" s="367">
        <f>ESF!M52</f>
        <v>0</v>
      </c>
      <c r="N86" s="367">
        <f>ESF!N52</f>
        <v>182.83</v>
      </c>
      <c r="O86" s="368">
        <f>ESF!O52</f>
        <v>0</v>
      </c>
    </row>
    <row r="87" spans="1:15" ht="14.25" customHeight="1" thickBot="1">
      <c r="A87" s="342" t="s">
        <v>291</v>
      </c>
      <c r="B87" s="343" t="s">
        <v>292</v>
      </c>
      <c r="C87" s="344"/>
      <c r="D87" s="345"/>
      <c r="E87" s="346">
        <f>SUM(C87:D87)</f>
        <v>0</v>
      </c>
      <c r="F87" s="347"/>
      <c r="G87" s="344"/>
      <c r="H87" s="344">
        <v>610</v>
      </c>
      <c r="I87" s="344"/>
      <c r="J87" s="346">
        <f>SUM(H87:I87)</f>
        <v>610</v>
      </c>
      <c r="K87" s="346">
        <f>SUM(F87,G87,J87)</f>
        <v>610</v>
      </c>
      <c r="L87" s="348">
        <f>SUM(E87,K87)</f>
        <v>610</v>
      </c>
      <c r="M87" s="348">
        <v>3600</v>
      </c>
      <c r="N87" s="348">
        <f>SUM(L87,M87)</f>
        <v>4210</v>
      </c>
      <c r="O87" s="349"/>
    </row>
    <row r="88" spans="1:15" ht="14.25" customHeight="1" thickBot="1">
      <c r="A88" s="220"/>
      <c r="B88" s="221" t="s">
        <v>293</v>
      </c>
      <c r="C88" s="224">
        <f aca="true" t="shared" si="32" ref="C88:O88">SUM(C86:C87)</f>
        <v>0</v>
      </c>
      <c r="D88" s="224">
        <f t="shared" si="32"/>
        <v>0</v>
      </c>
      <c r="E88" s="224">
        <f t="shared" si="32"/>
        <v>0</v>
      </c>
      <c r="F88" s="224">
        <f t="shared" si="32"/>
        <v>0</v>
      </c>
      <c r="G88" s="224">
        <f t="shared" si="32"/>
        <v>0</v>
      </c>
      <c r="H88" s="224">
        <f t="shared" si="32"/>
        <v>792.83</v>
      </c>
      <c r="I88" s="224">
        <f t="shared" si="32"/>
        <v>0</v>
      </c>
      <c r="J88" s="224">
        <f t="shared" si="32"/>
        <v>792.83</v>
      </c>
      <c r="K88" s="224">
        <f t="shared" si="32"/>
        <v>792.83</v>
      </c>
      <c r="L88" s="224">
        <f t="shared" si="32"/>
        <v>792.83</v>
      </c>
      <c r="M88" s="224">
        <f t="shared" si="32"/>
        <v>3600</v>
      </c>
      <c r="N88" s="224">
        <f t="shared" si="32"/>
        <v>4392.83</v>
      </c>
      <c r="O88" s="246">
        <f t="shared" si="32"/>
        <v>0</v>
      </c>
    </row>
    <row r="89" spans="1:19" s="183" customFormat="1" ht="13.5" thickBot="1">
      <c r="A89" s="247" t="s">
        <v>294</v>
      </c>
      <c r="B89" s="248" t="s">
        <v>295</v>
      </c>
      <c r="C89" s="249">
        <v>2384</v>
      </c>
      <c r="D89" s="250">
        <v>585</v>
      </c>
      <c r="E89" s="251">
        <f>SUM(C89:D89)</f>
        <v>2969</v>
      </c>
      <c r="F89" s="252">
        <v>996</v>
      </c>
      <c r="G89" s="249">
        <v>48</v>
      </c>
      <c r="H89" s="249">
        <v>8434</v>
      </c>
      <c r="I89" s="249"/>
      <c r="J89" s="251">
        <f>SUM(H89:I89)</f>
        <v>8434</v>
      </c>
      <c r="K89" s="251">
        <f>SUM(F89,G89,J89)</f>
        <v>9478</v>
      </c>
      <c r="L89" s="251">
        <f>SUM(E89,K89)</f>
        <v>12447</v>
      </c>
      <c r="M89" s="251">
        <v>1000</v>
      </c>
      <c r="N89" s="251">
        <f>SUM(L89,M89)</f>
        <v>13447</v>
      </c>
      <c r="O89" s="253">
        <v>6.1</v>
      </c>
      <c r="P89"/>
      <c r="Q89"/>
      <c r="R89"/>
      <c r="S89"/>
    </row>
    <row r="90" spans="1:15" ht="14.25" customHeight="1" thickBot="1">
      <c r="A90" s="220"/>
      <c r="B90" s="221" t="s">
        <v>296</v>
      </c>
      <c r="C90" s="224">
        <f aca="true" t="shared" si="33" ref="C90:L90">SUM(C89:C89)</f>
        <v>2384</v>
      </c>
      <c r="D90" s="232">
        <f t="shared" si="33"/>
        <v>585</v>
      </c>
      <c r="E90" s="222">
        <f t="shared" si="33"/>
        <v>2969</v>
      </c>
      <c r="F90" s="233">
        <f t="shared" si="33"/>
        <v>996</v>
      </c>
      <c r="G90" s="224">
        <f t="shared" si="33"/>
        <v>48</v>
      </c>
      <c r="H90" s="224">
        <f t="shared" si="33"/>
        <v>8434</v>
      </c>
      <c r="I90" s="224">
        <f t="shared" si="33"/>
        <v>0</v>
      </c>
      <c r="J90" s="222">
        <f t="shared" si="33"/>
        <v>8434</v>
      </c>
      <c r="K90" s="222">
        <f t="shared" si="33"/>
        <v>9478</v>
      </c>
      <c r="L90" s="222">
        <f t="shared" si="33"/>
        <v>12447</v>
      </c>
      <c r="M90" s="222">
        <f>SUM(M89:M89)</f>
        <v>1000</v>
      </c>
      <c r="N90" s="222">
        <f>SUM(N89:N89)</f>
        <v>13447</v>
      </c>
      <c r="O90" s="223">
        <f>SUM(O89:O89)</f>
        <v>6.1</v>
      </c>
    </row>
    <row r="91" spans="1:15" ht="27.75" customHeight="1" thickBot="1">
      <c r="A91" s="254"/>
      <c r="B91" s="255" t="s">
        <v>297</v>
      </c>
      <c r="C91" s="256">
        <f aca="true" t="shared" si="34" ref="C91:O91">C13+C28+C30+C41+C48+C54+C60+C68+C74+C77+C83+C85+C88+C90</f>
        <v>201225.768</v>
      </c>
      <c r="D91" s="256">
        <f t="shared" si="34"/>
        <v>110974.21900000001</v>
      </c>
      <c r="E91" s="256">
        <f t="shared" si="34"/>
        <v>312199.98699999996</v>
      </c>
      <c r="F91" s="256">
        <f t="shared" si="34"/>
        <v>93628.171</v>
      </c>
      <c r="G91" s="256">
        <f t="shared" si="34"/>
        <v>4026.642</v>
      </c>
      <c r="H91" s="256">
        <f t="shared" si="34"/>
        <v>330679.169</v>
      </c>
      <c r="I91" s="256">
        <f t="shared" si="34"/>
        <v>90750</v>
      </c>
      <c r="J91" s="256">
        <f t="shared" si="34"/>
        <v>421429.169</v>
      </c>
      <c r="K91" s="256">
        <f t="shared" si="34"/>
        <v>519083.982</v>
      </c>
      <c r="L91" s="256">
        <f t="shared" si="34"/>
        <v>831283.9689999999</v>
      </c>
      <c r="M91" s="256">
        <f>M13+M28+M30+M41+M48+M54+M60+M68+M74+M77+M83+M85+M88+M90</f>
        <v>110234</v>
      </c>
      <c r="N91" s="256">
        <f t="shared" si="34"/>
        <v>941517.9689999999</v>
      </c>
      <c r="O91" s="257">
        <f t="shared" si="34"/>
        <v>824.3199999999999</v>
      </c>
    </row>
  </sheetData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09"/>
  <sheetViews>
    <sheetView zoomScale="80" zoomScaleNormal="80" workbookViewId="0" topLeftCell="A1">
      <selection activeCell="J22" sqref="J22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9.140625" style="1" customWidth="1"/>
    <col min="4" max="4" width="14.421875" style="1" customWidth="1"/>
    <col min="5" max="5" width="14.140625" style="1" customWidth="1"/>
    <col min="6" max="6" width="14.28125" style="1" customWidth="1"/>
    <col min="7" max="7" width="14.421875" style="1" bestFit="1" customWidth="1"/>
    <col min="8" max="8" width="14.57421875" style="1" customWidth="1"/>
    <col min="9" max="9" width="13.421875" style="1" bestFit="1" customWidth="1"/>
    <col min="10" max="10" width="14.421875" style="1" bestFit="1" customWidth="1"/>
    <col min="11" max="11" width="15.7109375" style="1" bestFit="1" customWidth="1"/>
    <col min="12" max="16384" width="9.140625" style="1" customWidth="1"/>
  </cols>
  <sheetData>
    <row r="1" spans="8:9" ht="15.75">
      <c r="H1" s="2" t="s">
        <v>190</v>
      </c>
      <c r="I1" s="39"/>
    </row>
    <row r="2" ht="15.75">
      <c r="B2" s="3" t="s">
        <v>25</v>
      </c>
    </row>
    <row r="3" ht="13.5" thickBot="1">
      <c r="H3" s="4" t="s">
        <v>1</v>
      </c>
    </row>
    <row r="4" spans="2:9" ht="13.5" thickBot="1">
      <c r="B4" s="40"/>
      <c r="C4" s="41"/>
      <c r="D4" s="42"/>
      <c r="E4" s="429" t="s">
        <v>298</v>
      </c>
      <c r="F4" s="44"/>
      <c r="G4" s="42"/>
      <c r="H4" s="43" t="s">
        <v>490</v>
      </c>
      <c r="I4" s="44"/>
    </row>
    <row r="5" spans="2:9" ht="54.75" customHeight="1" thickBot="1">
      <c r="B5" s="45" t="s">
        <v>3</v>
      </c>
      <c r="C5" s="46" t="s">
        <v>26</v>
      </c>
      <c r="D5" s="5" t="s">
        <v>27</v>
      </c>
      <c r="E5" s="5" t="s">
        <v>28</v>
      </c>
      <c r="F5" s="5" t="s">
        <v>29</v>
      </c>
      <c r="G5" s="5" t="s">
        <v>27</v>
      </c>
      <c r="H5" s="5" t="s">
        <v>28</v>
      </c>
      <c r="I5" s="5" t="s">
        <v>29</v>
      </c>
    </row>
    <row r="6" spans="2:9" ht="13.5" thickBot="1">
      <c r="B6" s="47"/>
      <c r="C6" s="48"/>
      <c r="D6" s="10">
        <v>241</v>
      </c>
      <c r="E6" s="10">
        <v>245</v>
      </c>
      <c r="F6" s="10">
        <v>243</v>
      </c>
      <c r="G6" s="10">
        <v>241</v>
      </c>
      <c r="H6" s="10">
        <v>245</v>
      </c>
      <c r="I6" s="10">
        <v>243</v>
      </c>
    </row>
    <row r="7" spans="2:10" ht="12.75">
      <c r="B7" s="12" t="s">
        <v>4</v>
      </c>
      <c r="C7" s="49">
        <v>911</v>
      </c>
      <c r="D7" s="18">
        <v>544</v>
      </c>
      <c r="E7" s="13"/>
      <c r="F7" s="14"/>
      <c r="G7" s="18">
        <v>544</v>
      </c>
      <c r="H7" s="13"/>
      <c r="I7" s="14"/>
      <c r="J7" s="50"/>
    </row>
    <row r="8" spans="2:10" ht="12.75">
      <c r="B8" s="16" t="s">
        <v>5</v>
      </c>
      <c r="C8" s="51">
        <v>911</v>
      </c>
      <c r="D8" s="17"/>
      <c r="E8" s="18">
        <v>400</v>
      </c>
      <c r="F8" s="19"/>
      <c r="G8" s="17"/>
      <c r="H8" s="18">
        <v>159.687</v>
      </c>
      <c r="I8" s="19"/>
      <c r="J8" s="50"/>
    </row>
    <row r="9" spans="2:10" ht="12.75">
      <c r="B9" s="16" t="s">
        <v>6</v>
      </c>
      <c r="C9" s="51">
        <v>911</v>
      </c>
      <c r="D9" s="37">
        <v>56.929</v>
      </c>
      <c r="E9" s="18"/>
      <c r="F9" s="19"/>
      <c r="G9" s="37">
        <v>56.929</v>
      </c>
      <c r="H9" s="18"/>
      <c r="I9" s="19"/>
      <c r="J9" s="50"/>
    </row>
    <row r="10" spans="2:10" ht="12.75">
      <c r="B10" s="16" t="s">
        <v>7</v>
      </c>
      <c r="C10" s="51">
        <v>911</v>
      </c>
      <c r="D10" s="18">
        <v>-1018.491</v>
      </c>
      <c r="E10" s="18">
        <v>3015.78537</v>
      </c>
      <c r="F10" s="19"/>
      <c r="G10" s="18"/>
      <c r="H10" s="18">
        <v>1997.294</v>
      </c>
      <c r="I10" s="19"/>
      <c r="J10" s="50"/>
    </row>
    <row r="11" spans="2:10" ht="12.75">
      <c r="B11" s="16" t="s">
        <v>8</v>
      </c>
      <c r="C11" s="51">
        <v>911</v>
      </c>
      <c r="D11" s="18"/>
      <c r="E11" s="18">
        <v>208.76985</v>
      </c>
      <c r="F11" s="19"/>
      <c r="G11" s="18"/>
      <c r="H11" s="18">
        <v>264.214</v>
      </c>
      <c r="I11" s="19"/>
      <c r="J11" s="50"/>
    </row>
    <row r="12" spans="2:10" ht="12.75">
      <c r="B12" s="16" t="s">
        <v>9</v>
      </c>
      <c r="C12" s="51">
        <v>911</v>
      </c>
      <c r="D12" s="18">
        <v>1976.22735</v>
      </c>
      <c r="E12" s="18"/>
      <c r="F12" s="19"/>
      <c r="G12" s="18">
        <v>1418.706</v>
      </c>
      <c r="H12" s="18"/>
      <c r="I12" s="19"/>
      <c r="J12" s="50"/>
    </row>
    <row r="13" spans="2:10" ht="12.75">
      <c r="B13" s="16" t="s">
        <v>10</v>
      </c>
      <c r="C13" s="51">
        <v>911</v>
      </c>
      <c r="D13" s="17"/>
      <c r="E13" s="18"/>
      <c r="F13" s="19"/>
      <c r="G13" s="17"/>
      <c r="H13" s="18"/>
      <c r="I13" s="19"/>
      <c r="J13" s="50"/>
    </row>
    <row r="14" spans="2:10" ht="12.75">
      <c r="B14" s="16" t="s">
        <v>11</v>
      </c>
      <c r="C14" s="51">
        <v>911</v>
      </c>
      <c r="D14" s="18">
        <v>456.776</v>
      </c>
      <c r="E14" s="18"/>
      <c r="F14" s="19"/>
      <c r="G14" s="18">
        <v>160.606</v>
      </c>
      <c r="H14" s="18"/>
      <c r="I14" s="19"/>
      <c r="J14" s="50"/>
    </row>
    <row r="15" spans="2:10" ht="12.75">
      <c r="B15" s="16" t="s">
        <v>12</v>
      </c>
      <c r="C15" s="51">
        <v>911</v>
      </c>
      <c r="D15" s="18"/>
      <c r="E15" s="18">
        <v>1974.482994</v>
      </c>
      <c r="F15" s="19"/>
      <c r="G15" s="18"/>
      <c r="H15" s="18">
        <v>371.696</v>
      </c>
      <c r="I15" s="19"/>
      <c r="J15" s="50"/>
    </row>
    <row r="16" spans="2:10" ht="12.75">
      <c r="B16" s="20" t="s">
        <v>13</v>
      </c>
      <c r="C16" s="52">
        <v>911</v>
      </c>
      <c r="D16" s="17"/>
      <c r="E16" s="18"/>
      <c r="F16" s="19"/>
      <c r="G16" s="17"/>
      <c r="H16" s="18"/>
      <c r="I16" s="19"/>
      <c r="J16" s="50"/>
    </row>
    <row r="17" spans="2:10" ht="12.75">
      <c r="B17" s="16" t="s">
        <v>14</v>
      </c>
      <c r="C17" s="52">
        <v>911</v>
      </c>
      <c r="D17" s="18"/>
      <c r="E17" s="18">
        <v>1086.296</v>
      </c>
      <c r="F17" s="19"/>
      <c r="G17" s="18"/>
      <c r="H17" s="18">
        <v>52.681</v>
      </c>
      <c r="I17" s="19"/>
      <c r="J17" s="50"/>
    </row>
    <row r="18" spans="2:10" ht="12.75">
      <c r="B18" s="16" t="s">
        <v>30</v>
      </c>
      <c r="C18" s="52">
        <v>911</v>
      </c>
      <c r="D18" s="18">
        <v>267.37798</v>
      </c>
      <c r="E18" s="18"/>
      <c r="F18" s="19"/>
      <c r="G18" s="18">
        <v>267.377</v>
      </c>
      <c r="H18" s="18"/>
      <c r="I18" s="19"/>
      <c r="J18" s="50"/>
    </row>
    <row r="19" spans="2:256" s="58" customFormat="1" ht="12.75">
      <c r="B19" s="53" t="s">
        <v>16</v>
      </c>
      <c r="C19" s="54">
        <v>911</v>
      </c>
      <c r="D19" s="55"/>
      <c r="E19" s="56"/>
      <c r="F19" s="57"/>
      <c r="G19" s="55"/>
      <c r="H19" s="56"/>
      <c r="I19" s="57"/>
      <c r="J19" s="5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10" ht="13.5" thickBot="1">
      <c r="B20" s="16" t="s">
        <v>17</v>
      </c>
      <c r="C20" s="51">
        <v>911</v>
      </c>
      <c r="D20" s="18">
        <v>90.352</v>
      </c>
      <c r="E20" s="21"/>
      <c r="F20" s="22"/>
      <c r="G20" s="18">
        <v>90.352</v>
      </c>
      <c r="H20" s="21"/>
      <c r="I20" s="22"/>
      <c r="J20" s="50"/>
    </row>
    <row r="21" spans="2:10" ht="16.5" customHeight="1" thickBot="1">
      <c r="B21" s="23" t="s">
        <v>24</v>
      </c>
      <c r="C21" s="32">
        <v>911</v>
      </c>
      <c r="D21" s="59">
        <f aca="true" t="shared" si="0" ref="D21:I21">SUM(D7:D20)</f>
        <v>2373.1713299999997</v>
      </c>
      <c r="E21" s="59">
        <f t="shared" si="0"/>
        <v>6685.334214</v>
      </c>
      <c r="F21" s="25">
        <f t="shared" si="0"/>
        <v>0</v>
      </c>
      <c r="G21" s="59">
        <f t="shared" si="0"/>
        <v>2537.97</v>
      </c>
      <c r="H21" s="59">
        <f t="shared" si="0"/>
        <v>2845.572</v>
      </c>
      <c r="I21" s="25">
        <f t="shared" si="0"/>
        <v>0</v>
      </c>
      <c r="J21" s="50"/>
    </row>
    <row r="22" ht="13.5" thickBot="1">
      <c r="J22" s="50"/>
    </row>
    <row r="23" spans="2:10" ht="13.5" thickBot="1">
      <c r="B23" s="40"/>
      <c r="C23" s="41"/>
      <c r="D23" s="42"/>
      <c r="E23" s="43" t="s">
        <v>298</v>
      </c>
      <c r="F23" s="44"/>
      <c r="G23" s="42"/>
      <c r="H23" s="43" t="s">
        <v>490</v>
      </c>
      <c r="I23" s="44"/>
      <c r="J23" s="50"/>
    </row>
    <row r="24" spans="2:10" ht="26.25" thickBot="1">
      <c r="B24" s="45" t="s">
        <v>31</v>
      </c>
      <c r="C24" s="46" t="s">
        <v>26</v>
      </c>
      <c r="D24" s="5" t="s">
        <v>27</v>
      </c>
      <c r="E24" s="5" t="s">
        <v>28</v>
      </c>
      <c r="F24" s="5" t="s">
        <v>29</v>
      </c>
      <c r="G24" s="5" t="s">
        <v>27</v>
      </c>
      <c r="H24" s="5" t="s">
        <v>28</v>
      </c>
      <c r="I24" s="5" t="s">
        <v>29</v>
      </c>
      <c r="J24" s="50"/>
    </row>
    <row r="25" spans="2:10" ht="13.5" thickBot="1">
      <c r="B25" s="47"/>
      <c r="C25" s="48"/>
      <c r="D25" s="10">
        <v>241</v>
      </c>
      <c r="E25" s="10">
        <v>245</v>
      </c>
      <c r="F25" s="10">
        <v>243</v>
      </c>
      <c r="G25" s="10">
        <v>241</v>
      </c>
      <c r="H25" s="10">
        <v>245</v>
      </c>
      <c r="I25" s="10">
        <v>243</v>
      </c>
      <c r="J25" s="50"/>
    </row>
    <row r="26" spans="2:10" ht="12.75">
      <c r="B26" s="12" t="s">
        <v>4</v>
      </c>
      <c r="C26" s="60">
        <v>912</v>
      </c>
      <c r="D26" s="13"/>
      <c r="E26" s="13"/>
      <c r="F26" s="14">
        <v>51.857</v>
      </c>
      <c r="G26" s="13"/>
      <c r="H26" s="13"/>
      <c r="I26" s="14">
        <v>81.372</v>
      </c>
      <c r="J26" s="50"/>
    </row>
    <row r="27" spans="2:10" ht="12.75">
      <c r="B27" s="16" t="s">
        <v>5</v>
      </c>
      <c r="C27" s="61">
        <v>912</v>
      </c>
      <c r="D27" s="18"/>
      <c r="E27" s="18"/>
      <c r="F27" s="19">
        <v>504.494</v>
      </c>
      <c r="G27" s="18"/>
      <c r="H27" s="18"/>
      <c r="I27" s="19">
        <v>900.547</v>
      </c>
      <c r="J27" s="50"/>
    </row>
    <row r="28" spans="2:10" ht="12.75">
      <c r="B28" s="16" t="s">
        <v>6</v>
      </c>
      <c r="C28" s="61">
        <v>912</v>
      </c>
      <c r="D28" s="18"/>
      <c r="E28" s="18"/>
      <c r="F28" s="19">
        <v>73.454</v>
      </c>
      <c r="G28" s="18"/>
      <c r="H28" s="18"/>
      <c r="I28" s="19">
        <v>87.385</v>
      </c>
      <c r="J28" s="50"/>
    </row>
    <row r="29" spans="2:10" ht="12.75">
      <c r="B29" s="16" t="s">
        <v>7</v>
      </c>
      <c r="C29" s="61">
        <v>912</v>
      </c>
      <c r="D29" s="18"/>
      <c r="E29" s="18"/>
      <c r="F29" s="28">
        <v>706.68923</v>
      </c>
      <c r="G29" s="18"/>
      <c r="H29" s="18"/>
      <c r="I29" s="28">
        <v>441.891</v>
      </c>
      <c r="J29" s="50"/>
    </row>
    <row r="30" spans="2:10" ht="12.75">
      <c r="B30" s="16" t="s">
        <v>8</v>
      </c>
      <c r="C30" s="61">
        <v>912</v>
      </c>
      <c r="D30" s="18"/>
      <c r="E30" s="18"/>
      <c r="F30" s="19">
        <v>862.89616</v>
      </c>
      <c r="G30" s="18"/>
      <c r="H30" s="18"/>
      <c r="I30" s="19">
        <v>700.509</v>
      </c>
      <c r="J30" s="50"/>
    </row>
    <row r="31" spans="2:10" ht="12.75">
      <c r="B31" s="16" t="s">
        <v>9</v>
      </c>
      <c r="C31" s="61">
        <v>912</v>
      </c>
      <c r="D31" s="18"/>
      <c r="E31" s="18"/>
      <c r="F31" s="19">
        <v>649.66432</v>
      </c>
      <c r="G31" s="18"/>
      <c r="H31" s="18"/>
      <c r="I31" s="19">
        <v>475.235</v>
      </c>
      <c r="J31" s="50"/>
    </row>
    <row r="32" spans="2:10" ht="12.75">
      <c r="B32" s="16" t="s">
        <v>10</v>
      </c>
      <c r="C32" s="61">
        <v>912</v>
      </c>
      <c r="D32" s="18"/>
      <c r="E32" s="18"/>
      <c r="F32" s="19">
        <v>21.14562</v>
      </c>
      <c r="G32" s="18"/>
      <c r="H32" s="18"/>
      <c r="I32" s="19">
        <v>42.686</v>
      </c>
      <c r="J32" s="50"/>
    </row>
    <row r="33" spans="2:10" ht="12.75">
      <c r="B33" s="16" t="s">
        <v>11</v>
      </c>
      <c r="C33" s="61">
        <v>912</v>
      </c>
      <c r="D33" s="18"/>
      <c r="E33" s="18"/>
      <c r="F33" s="19">
        <v>174.816</v>
      </c>
      <c r="G33" s="18"/>
      <c r="H33" s="18"/>
      <c r="I33" s="19">
        <v>316.043</v>
      </c>
      <c r="J33" s="50"/>
    </row>
    <row r="34" spans="2:10" ht="12.75">
      <c r="B34" s="16" t="s">
        <v>12</v>
      </c>
      <c r="C34" s="61">
        <v>912</v>
      </c>
      <c r="D34" s="18"/>
      <c r="E34" s="18"/>
      <c r="F34" s="19">
        <v>63.07757</v>
      </c>
      <c r="G34" s="18"/>
      <c r="H34" s="18"/>
      <c r="I34" s="19">
        <v>72.018</v>
      </c>
      <c r="J34" s="50"/>
    </row>
    <row r="35" spans="2:10" ht="12.75">
      <c r="B35" s="20" t="s">
        <v>13</v>
      </c>
      <c r="C35" s="62">
        <v>912</v>
      </c>
      <c r="D35" s="18"/>
      <c r="E35" s="18"/>
      <c r="F35" s="19"/>
      <c r="G35" s="18"/>
      <c r="H35" s="18"/>
      <c r="I35" s="19"/>
      <c r="J35" s="50"/>
    </row>
    <row r="36" spans="2:10" ht="12.75">
      <c r="B36" s="16" t="s">
        <v>14</v>
      </c>
      <c r="C36" s="61">
        <v>912</v>
      </c>
      <c r="D36" s="18"/>
      <c r="E36" s="18"/>
      <c r="F36" s="19">
        <v>316.78415</v>
      </c>
      <c r="G36" s="18"/>
      <c r="H36" s="18"/>
      <c r="I36" s="19">
        <v>7.097</v>
      </c>
      <c r="J36" s="50"/>
    </row>
    <row r="37" spans="2:10" ht="12.75">
      <c r="B37" s="16" t="s">
        <v>30</v>
      </c>
      <c r="C37" s="61">
        <v>912</v>
      </c>
      <c r="D37" s="18"/>
      <c r="E37" s="18"/>
      <c r="F37" s="19">
        <v>28.58552</v>
      </c>
      <c r="G37" s="18"/>
      <c r="H37" s="18"/>
      <c r="I37" s="19">
        <v>34.785</v>
      </c>
      <c r="J37" s="50"/>
    </row>
    <row r="38" spans="2:256" s="58" customFormat="1" ht="12.75">
      <c r="B38" s="53" t="s">
        <v>16</v>
      </c>
      <c r="C38" s="63">
        <v>912</v>
      </c>
      <c r="D38" s="56"/>
      <c r="E38" s="56"/>
      <c r="F38" s="57">
        <v>29.8985</v>
      </c>
      <c r="G38" s="56"/>
      <c r="H38" s="56"/>
      <c r="I38" s="57">
        <v>18.024</v>
      </c>
      <c r="J38" s="5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10" ht="13.5" thickBot="1">
      <c r="B39" s="16" t="s">
        <v>17</v>
      </c>
      <c r="C39" s="61">
        <v>912</v>
      </c>
      <c r="D39" s="21"/>
      <c r="E39" s="21"/>
      <c r="F39" s="22">
        <v>67.8375</v>
      </c>
      <c r="G39" s="21"/>
      <c r="H39" s="21"/>
      <c r="I39" s="22">
        <v>66.254</v>
      </c>
      <c r="J39" s="50"/>
    </row>
    <row r="40" spans="2:10" ht="13.5" thickBot="1">
      <c r="B40" s="23" t="s">
        <v>24</v>
      </c>
      <c r="C40" s="32">
        <v>912</v>
      </c>
      <c r="D40" s="59">
        <f aca="true" t="shared" si="1" ref="D40:I40">SUM(D26:D39)</f>
        <v>0</v>
      </c>
      <c r="E40" s="59">
        <f t="shared" si="1"/>
        <v>0</v>
      </c>
      <c r="F40" s="25">
        <f t="shared" si="1"/>
        <v>3551.199569999999</v>
      </c>
      <c r="G40" s="59">
        <f t="shared" si="1"/>
        <v>0</v>
      </c>
      <c r="H40" s="59">
        <f t="shared" si="1"/>
        <v>0</v>
      </c>
      <c r="I40" s="25">
        <f t="shared" si="1"/>
        <v>3243.8460000000005</v>
      </c>
      <c r="J40" s="50"/>
    </row>
    <row r="41" ht="13.5" thickBot="1">
      <c r="J41" s="50"/>
    </row>
    <row r="42" spans="2:10" ht="13.5" thickBot="1">
      <c r="B42" s="40"/>
      <c r="C42" s="41"/>
      <c r="D42" s="42"/>
      <c r="E42" s="43" t="s">
        <v>298</v>
      </c>
      <c r="F42" s="44"/>
      <c r="G42" s="42"/>
      <c r="H42" s="43" t="s">
        <v>490</v>
      </c>
      <c r="I42" s="44"/>
      <c r="J42" s="50"/>
    </row>
    <row r="43" spans="2:10" ht="26.25" thickBot="1">
      <c r="B43" s="45" t="s">
        <v>19</v>
      </c>
      <c r="C43" s="46" t="s">
        <v>26</v>
      </c>
      <c r="D43" s="5" t="s">
        <v>27</v>
      </c>
      <c r="E43" s="5" t="s">
        <v>28</v>
      </c>
      <c r="F43" s="5" t="s">
        <v>29</v>
      </c>
      <c r="G43" s="5" t="s">
        <v>27</v>
      </c>
      <c r="H43" s="5" t="s">
        <v>28</v>
      </c>
      <c r="I43" s="5" t="s">
        <v>29</v>
      </c>
      <c r="J43" s="50"/>
    </row>
    <row r="44" spans="2:10" ht="13.5" thickBot="1">
      <c r="B44" s="47"/>
      <c r="C44" s="48"/>
      <c r="D44" s="271">
        <v>241</v>
      </c>
      <c r="E44" s="10">
        <v>245</v>
      </c>
      <c r="F44" s="10">
        <v>243</v>
      </c>
      <c r="G44" s="271">
        <v>241</v>
      </c>
      <c r="H44" s="10">
        <v>245</v>
      </c>
      <c r="I44" s="10">
        <v>243</v>
      </c>
      <c r="J44" s="50"/>
    </row>
    <row r="45" spans="2:10" ht="12.75">
      <c r="B45" s="12" t="s">
        <v>4</v>
      </c>
      <c r="C45" s="60">
        <v>914</v>
      </c>
      <c r="D45" s="18">
        <v>1755.859</v>
      </c>
      <c r="E45" s="13"/>
      <c r="F45" s="14"/>
      <c r="G45" s="18">
        <v>2127.089</v>
      </c>
      <c r="H45" s="13"/>
      <c r="I45" s="14"/>
      <c r="J45" s="50"/>
    </row>
    <row r="46" spans="2:10" ht="12.75">
      <c r="B46" s="16" t="s">
        <v>5</v>
      </c>
      <c r="C46" s="61">
        <v>914</v>
      </c>
      <c r="D46" s="17"/>
      <c r="E46" s="18">
        <v>404.705</v>
      </c>
      <c r="F46" s="19"/>
      <c r="G46" s="17"/>
      <c r="H46" s="18">
        <v>1114.94</v>
      </c>
      <c r="I46" s="19"/>
      <c r="J46" s="50"/>
    </row>
    <row r="47" spans="2:10" ht="12.75">
      <c r="B47" s="16" t="s">
        <v>6</v>
      </c>
      <c r="C47" s="61">
        <v>914</v>
      </c>
      <c r="D47" s="18">
        <v>19.454</v>
      </c>
      <c r="E47" s="18"/>
      <c r="F47" s="19"/>
      <c r="G47" s="18">
        <v>31.943</v>
      </c>
      <c r="H47" s="18"/>
      <c r="I47" s="19"/>
      <c r="J47" s="50"/>
    </row>
    <row r="48" spans="2:10" ht="12.75">
      <c r="B48" s="16" t="s">
        <v>7</v>
      </c>
      <c r="C48" s="61">
        <v>914</v>
      </c>
      <c r="D48" s="18">
        <v>1153.86606</v>
      </c>
      <c r="E48" s="18">
        <v>7354.08829</v>
      </c>
      <c r="F48" s="19"/>
      <c r="G48" s="18"/>
      <c r="H48" s="18">
        <v>7234.738</v>
      </c>
      <c r="I48" s="19"/>
      <c r="J48" s="50"/>
    </row>
    <row r="49" spans="2:10" ht="12.75">
      <c r="B49" s="16" t="s">
        <v>8</v>
      </c>
      <c r="C49" s="61">
        <v>914</v>
      </c>
      <c r="D49" s="18"/>
      <c r="E49" s="18">
        <v>925.64867</v>
      </c>
      <c r="F49" s="19"/>
      <c r="G49" s="18"/>
      <c r="H49" s="18">
        <v>3527.138</v>
      </c>
      <c r="I49" s="19"/>
      <c r="J49" s="50"/>
    </row>
    <row r="50" spans="2:10" ht="12.75">
      <c r="B50" s="16" t="s">
        <v>9</v>
      </c>
      <c r="C50" s="61">
        <v>914</v>
      </c>
      <c r="D50" s="18">
        <v>2824.5769</v>
      </c>
      <c r="E50" s="18"/>
      <c r="F50" s="19"/>
      <c r="G50" s="18">
        <v>2250.243</v>
      </c>
      <c r="H50" s="18"/>
      <c r="I50" s="19"/>
      <c r="J50" s="50"/>
    </row>
    <row r="51" spans="2:10" ht="12.75">
      <c r="B51" s="16" t="s">
        <v>10</v>
      </c>
      <c r="C51" s="61">
        <v>914</v>
      </c>
      <c r="D51" s="18">
        <v>113.02065</v>
      </c>
      <c r="E51" s="18"/>
      <c r="F51" s="19"/>
      <c r="G51" s="18">
        <v>149.626</v>
      </c>
      <c r="H51" s="18"/>
      <c r="I51" s="19"/>
      <c r="J51" s="50"/>
    </row>
    <row r="52" spans="2:10" ht="12.75">
      <c r="B52" s="16" t="s">
        <v>11</v>
      </c>
      <c r="C52" s="61">
        <v>914</v>
      </c>
      <c r="D52" s="18">
        <v>134064.521</v>
      </c>
      <c r="E52" s="18"/>
      <c r="F52" s="19"/>
      <c r="G52" s="18">
        <v>107481.764</v>
      </c>
      <c r="H52" s="18"/>
      <c r="I52" s="19"/>
      <c r="J52" s="50"/>
    </row>
    <row r="53" spans="2:10" ht="12.75">
      <c r="B53" s="16" t="s">
        <v>12</v>
      </c>
      <c r="C53" s="61">
        <v>914</v>
      </c>
      <c r="D53" s="18"/>
      <c r="E53" s="18">
        <v>3770.32682</v>
      </c>
      <c r="F53" s="19"/>
      <c r="G53" s="18"/>
      <c r="H53" s="18">
        <v>141.262</v>
      </c>
      <c r="I53" s="19"/>
      <c r="J53" s="50"/>
    </row>
    <row r="54" spans="2:10" ht="12.75">
      <c r="B54" s="20" t="s">
        <v>13</v>
      </c>
      <c r="C54" s="62">
        <v>914</v>
      </c>
      <c r="D54" s="18">
        <v>202.08833</v>
      </c>
      <c r="E54" s="18"/>
      <c r="F54" s="19"/>
      <c r="G54" s="18">
        <v>333.465</v>
      </c>
      <c r="H54" s="18"/>
      <c r="I54" s="19"/>
      <c r="J54" s="50"/>
    </row>
    <row r="55" spans="2:10" ht="12.75">
      <c r="B55" s="16" t="s">
        <v>14</v>
      </c>
      <c r="C55" s="61">
        <v>914</v>
      </c>
      <c r="D55" s="18"/>
      <c r="E55" s="18">
        <v>11913.04632</v>
      </c>
      <c r="F55" s="19"/>
      <c r="G55" s="18"/>
      <c r="H55" s="18">
        <v>18567.809</v>
      </c>
      <c r="I55" s="19"/>
      <c r="J55" s="50"/>
    </row>
    <row r="56" spans="2:10" ht="12.75">
      <c r="B56" s="16" t="s">
        <v>30</v>
      </c>
      <c r="C56" s="61">
        <v>914</v>
      </c>
      <c r="D56" s="18">
        <v>810.51623</v>
      </c>
      <c r="E56" s="21"/>
      <c r="F56" s="22"/>
      <c r="G56" s="18">
        <v>821.699</v>
      </c>
      <c r="H56" s="21"/>
      <c r="I56" s="22"/>
      <c r="J56" s="50"/>
    </row>
    <row r="57" spans="2:256" s="58" customFormat="1" ht="12.75">
      <c r="B57" s="53" t="s">
        <v>16</v>
      </c>
      <c r="C57" s="64">
        <v>914</v>
      </c>
      <c r="D57" s="55"/>
      <c r="E57" s="56"/>
      <c r="F57" s="57"/>
      <c r="G57" s="55"/>
      <c r="H57" s="56"/>
      <c r="I57" s="57"/>
      <c r="J57" s="5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10" ht="13.5" thickBot="1">
      <c r="B58" s="16" t="s">
        <v>17</v>
      </c>
      <c r="C58" s="61">
        <v>914</v>
      </c>
      <c r="D58" s="18">
        <v>23.1976</v>
      </c>
      <c r="E58" s="21"/>
      <c r="F58" s="22"/>
      <c r="G58" s="18">
        <v>23.197</v>
      </c>
      <c r="H58" s="21"/>
      <c r="I58" s="22"/>
      <c r="J58" s="50"/>
    </row>
    <row r="59" spans="2:10" ht="13.5" thickBot="1">
      <c r="B59" s="23" t="s">
        <v>24</v>
      </c>
      <c r="C59" s="32">
        <v>914</v>
      </c>
      <c r="D59" s="59">
        <f aca="true" t="shared" si="2" ref="D59:I59">SUM(D45:D58)</f>
        <v>140967.09977000003</v>
      </c>
      <c r="E59" s="59">
        <f t="shared" si="2"/>
        <v>24367.8151</v>
      </c>
      <c r="F59" s="25">
        <f t="shared" si="2"/>
        <v>0</v>
      </c>
      <c r="G59" s="59">
        <f t="shared" si="2"/>
        <v>113219.02599999998</v>
      </c>
      <c r="H59" s="59">
        <f t="shared" si="2"/>
        <v>30585.887000000002</v>
      </c>
      <c r="I59" s="25">
        <f t="shared" si="2"/>
        <v>0</v>
      </c>
      <c r="J59" s="50"/>
    </row>
    <row r="60" ht="13.5" thickBot="1">
      <c r="J60" s="50"/>
    </row>
    <row r="61" spans="2:10" ht="13.5" thickBot="1">
      <c r="B61" s="40"/>
      <c r="C61" s="41"/>
      <c r="D61" s="42"/>
      <c r="E61" s="43" t="s">
        <v>298</v>
      </c>
      <c r="F61" s="44"/>
      <c r="G61" s="42"/>
      <c r="H61" s="43" t="s">
        <v>490</v>
      </c>
      <c r="I61" s="44"/>
      <c r="J61" s="50"/>
    </row>
    <row r="62" spans="2:10" ht="26.25" thickBot="1">
      <c r="B62" s="45" t="s">
        <v>32</v>
      </c>
      <c r="C62" s="46" t="s">
        <v>26</v>
      </c>
      <c r="D62" s="5" t="s">
        <v>27</v>
      </c>
      <c r="E62" s="5" t="s">
        <v>28</v>
      </c>
      <c r="F62" s="5" t="s">
        <v>29</v>
      </c>
      <c r="G62" s="5" t="s">
        <v>27</v>
      </c>
      <c r="H62" s="5" t="s">
        <v>28</v>
      </c>
      <c r="I62" s="5" t="s">
        <v>29</v>
      </c>
      <c r="J62" s="50"/>
    </row>
    <row r="63" spans="2:10" ht="13.5" thickBot="1">
      <c r="B63" s="47"/>
      <c r="C63" s="48"/>
      <c r="D63" s="10">
        <v>241</v>
      </c>
      <c r="E63" s="10">
        <v>245</v>
      </c>
      <c r="F63" s="10">
        <v>243</v>
      </c>
      <c r="G63" s="10">
        <v>241</v>
      </c>
      <c r="H63" s="10">
        <v>245</v>
      </c>
      <c r="I63" s="10">
        <v>243</v>
      </c>
      <c r="J63" s="50"/>
    </row>
    <row r="64" spans="2:10" ht="12.75">
      <c r="B64" s="12" t="s">
        <v>4</v>
      </c>
      <c r="C64" s="60">
        <v>916</v>
      </c>
      <c r="D64" s="13">
        <v>2610.009</v>
      </c>
      <c r="E64" s="13"/>
      <c r="F64" s="14"/>
      <c r="G64" s="13">
        <v>3003.552</v>
      </c>
      <c r="H64" s="13"/>
      <c r="I64" s="14"/>
      <c r="J64" s="50"/>
    </row>
    <row r="65" spans="2:10" ht="12.75">
      <c r="B65" s="16" t="s">
        <v>5</v>
      </c>
      <c r="C65" s="61">
        <v>916</v>
      </c>
      <c r="D65" s="18"/>
      <c r="E65" s="18">
        <v>19835.28968</v>
      </c>
      <c r="F65" s="19"/>
      <c r="G65" s="18"/>
      <c r="H65" s="18">
        <v>7567.353</v>
      </c>
      <c r="I65" s="19"/>
      <c r="J65" s="50"/>
    </row>
    <row r="66" spans="2:10" ht="12.75">
      <c r="B66" s="16" t="s">
        <v>6</v>
      </c>
      <c r="C66" s="61">
        <v>916</v>
      </c>
      <c r="D66" s="18">
        <v>6095.706</v>
      </c>
      <c r="E66" s="18"/>
      <c r="F66" s="19"/>
      <c r="G66" s="18">
        <v>7399.624</v>
      </c>
      <c r="H66" s="18"/>
      <c r="I66" s="19"/>
      <c r="J66" s="50"/>
    </row>
    <row r="67" spans="2:10" ht="12.75">
      <c r="B67" s="16" t="s">
        <v>7</v>
      </c>
      <c r="C67" s="61">
        <v>916</v>
      </c>
      <c r="D67" s="18">
        <v>608.423</v>
      </c>
      <c r="E67" s="18">
        <v>8467.3924</v>
      </c>
      <c r="F67" s="19"/>
      <c r="G67" s="18"/>
      <c r="H67" s="18">
        <v>10778.237</v>
      </c>
      <c r="I67" s="19"/>
      <c r="J67" s="50"/>
    </row>
    <row r="68" spans="2:10" ht="12.75">
      <c r="B68" s="16" t="s">
        <v>8</v>
      </c>
      <c r="C68" s="61">
        <v>916</v>
      </c>
      <c r="D68" s="18"/>
      <c r="E68" s="18">
        <v>145.70068</v>
      </c>
      <c r="F68" s="19"/>
      <c r="G68" s="18"/>
      <c r="H68" s="18">
        <v>1229.549</v>
      </c>
      <c r="I68" s="19"/>
      <c r="J68" s="50"/>
    </row>
    <row r="69" spans="2:10" ht="12.75">
      <c r="B69" s="16" t="s">
        <v>9</v>
      </c>
      <c r="C69" s="61">
        <v>916</v>
      </c>
      <c r="D69" s="18">
        <v>4893.5068</v>
      </c>
      <c r="E69" s="18"/>
      <c r="F69" s="19"/>
      <c r="G69" s="18">
        <v>4700.444</v>
      </c>
      <c r="H69" s="18"/>
      <c r="I69" s="19"/>
      <c r="J69" s="50"/>
    </row>
    <row r="70" spans="2:10" ht="12.75">
      <c r="B70" s="16" t="s">
        <v>10</v>
      </c>
      <c r="C70" s="61">
        <v>916</v>
      </c>
      <c r="D70" s="18">
        <v>286.77294</v>
      </c>
      <c r="E70" s="18"/>
      <c r="F70" s="19"/>
      <c r="G70" s="18">
        <v>213.434</v>
      </c>
      <c r="H70" s="18"/>
      <c r="I70" s="19"/>
      <c r="J70" s="50"/>
    </row>
    <row r="71" spans="2:10" ht="12.75">
      <c r="B71" s="16" t="s">
        <v>11</v>
      </c>
      <c r="C71" s="61">
        <v>916</v>
      </c>
      <c r="D71" s="18">
        <v>2231.364</v>
      </c>
      <c r="E71" s="18"/>
      <c r="F71" s="19"/>
      <c r="G71" s="18">
        <v>3165.748</v>
      </c>
      <c r="H71" s="18"/>
      <c r="I71" s="19"/>
      <c r="J71" s="50"/>
    </row>
    <row r="72" spans="2:10" ht="12.75">
      <c r="B72" s="16" t="s">
        <v>12</v>
      </c>
      <c r="C72" s="61">
        <v>916</v>
      </c>
      <c r="D72" s="18"/>
      <c r="E72" s="18">
        <v>6419.62711</v>
      </c>
      <c r="F72" s="19"/>
      <c r="G72" s="18"/>
      <c r="H72" s="18">
        <v>5868.046</v>
      </c>
      <c r="I72" s="19"/>
      <c r="J72" s="50"/>
    </row>
    <row r="73" spans="2:10" ht="12.75">
      <c r="B73" s="20" t="s">
        <v>13</v>
      </c>
      <c r="C73" s="62">
        <v>916</v>
      </c>
      <c r="D73" s="18">
        <v>454.6041</v>
      </c>
      <c r="E73" s="18"/>
      <c r="F73" s="19"/>
      <c r="G73" s="18">
        <v>454.604</v>
      </c>
      <c r="H73" s="18"/>
      <c r="I73" s="19"/>
      <c r="J73" s="50"/>
    </row>
    <row r="74" spans="2:10" ht="12.75">
      <c r="B74" s="16" t="s">
        <v>14</v>
      </c>
      <c r="C74" s="61">
        <v>916</v>
      </c>
      <c r="D74" s="18"/>
      <c r="E74" s="18">
        <v>21776.00045</v>
      </c>
      <c r="F74" s="19"/>
      <c r="G74" s="18"/>
      <c r="H74" s="18">
        <v>23319.895</v>
      </c>
      <c r="I74" s="19"/>
      <c r="J74" s="50"/>
    </row>
    <row r="75" spans="2:10" ht="12.75">
      <c r="B75" s="16" t="s">
        <v>30</v>
      </c>
      <c r="C75" s="61">
        <v>916</v>
      </c>
      <c r="D75" s="18">
        <v>667.44484</v>
      </c>
      <c r="E75" s="18"/>
      <c r="F75" s="19"/>
      <c r="G75" s="18">
        <v>1139.628</v>
      </c>
      <c r="H75" s="18"/>
      <c r="I75" s="19"/>
      <c r="J75" s="50"/>
    </row>
    <row r="76" spans="2:256" s="58" customFormat="1" ht="12.75">
      <c r="B76" s="53" t="s">
        <v>16</v>
      </c>
      <c r="C76" s="63">
        <v>916</v>
      </c>
      <c r="D76" s="55">
        <v>1844.24635</v>
      </c>
      <c r="E76" s="56"/>
      <c r="F76" s="57"/>
      <c r="G76" s="55">
        <v>1482.901</v>
      </c>
      <c r="H76" s="56"/>
      <c r="I76" s="57"/>
      <c r="J76" s="5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2:10" ht="13.5" thickBot="1">
      <c r="B77" s="16" t="s">
        <v>17</v>
      </c>
      <c r="C77" s="61">
        <v>916</v>
      </c>
      <c r="D77" s="276">
        <v>981.0909999999999</v>
      </c>
      <c r="E77" s="21"/>
      <c r="F77" s="22"/>
      <c r="G77" s="276">
        <v>65.32</v>
      </c>
      <c r="H77" s="21"/>
      <c r="I77" s="22"/>
      <c r="J77" s="50"/>
    </row>
    <row r="78" spans="2:10" ht="13.5" thickBot="1">
      <c r="B78" s="23" t="s">
        <v>24</v>
      </c>
      <c r="C78" s="32">
        <v>916</v>
      </c>
      <c r="D78" s="59">
        <f aca="true" t="shared" si="3" ref="D78:I78">SUM(D64:D77)</f>
        <v>20673.168030000004</v>
      </c>
      <c r="E78" s="59">
        <f t="shared" si="3"/>
        <v>56644.01032</v>
      </c>
      <c r="F78" s="25">
        <f t="shared" si="3"/>
        <v>0</v>
      </c>
      <c r="G78" s="59">
        <f t="shared" si="3"/>
        <v>21625.255</v>
      </c>
      <c r="H78" s="59">
        <f t="shared" si="3"/>
        <v>48763.08</v>
      </c>
      <c r="I78" s="25">
        <f t="shared" si="3"/>
        <v>0</v>
      </c>
      <c r="J78" s="50"/>
    </row>
    <row r="79" ht="13.5" thickBot="1">
      <c r="J79" s="50"/>
    </row>
    <row r="80" spans="2:10" ht="13.5" thickBot="1">
      <c r="B80" s="40"/>
      <c r="C80" s="41"/>
      <c r="D80" s="42"/>
      <c r="E80" s="43" t="s">
        <v>298</v>
      </c>
      <c r="F80" s="44"/>
      <c r="G80" s="42"/>
      <c r="H80" s="43" t="s">
        <v>490</v>
      </c>
      <c r="I80" s="44"/>
      <c r="J80" s="50"/>
    </row>
    <row r="81" spans="2:10" ht="26.25" thickBot="1">
      <c r="B81" s="45" t="s">
        <v>33</v>
      </c>
      <c r="C81" s="46" t="s">
        <v>26</v>
      </c>
      <c r="D81" s="5" t="s">
        <v>27</v>
      </c>
      <c r="E81" s="5" t="s">
        <v>28</v>
      </c>
      <c r="F81" s="5" t="s">
        <v>29</v>
      </c>
      <c r="G81" s="5" t="s">
        <v>27</v>
      </c>
      <c r="H81" s="5" t="s">
        <v>28</v>
      </c>
      <c r="I81" s="5" t="s">
        <v>29</v>
      </c>
      <c r="J81" s="50"/>
    </row>
    <row r="82" spans="2:10" ht="13.5" thickBot="1">
      <c r="B82" s="65"/>
      <c r="C82" s="44"/>
      <c r="D82" s="10">
        <v>241</v>
      </c>
      <c r="E82" s="10">
        <v>245</v>
      </c>
      <c r="F82" s="10">
        <v>243</v>
      </c>
      <c r="G82" s="10">
        <v>241</v>
      </c>
      <c r="H82" s="10">
        <v>245</v>
      </c>
      <c r="I82" s="10">
        <v>243</v>
      </c>
      <c r="J82" s="50"/>
    </row>
    <row r="83" spans="2:10" ht="12.75">
      <c r="B83" s="66" t="s">
        <v>4</v>
      </c>
      <c r="C83" s="67"/>
      <c r="D83" s="68">
        <f aca="true" t="shared" si="4" ref="D83:I96">D7+D26+D45+D64</f>
        <v>4909.868</v>
      </c>
      <c r="E83" s="69">
        <f t="shared" si="4"/>
        <v>0</v>
      </c>
      <c r="F83" s="70">
        <f t="shared" si="4"/>
        <v>51.857</v>
      </c>
      <c r="G83" s="68">
        <f t="shared" si="4"/>
        <v>5674.641</v>
      </c>
      <c r="H83" s="69">
        <f t="shared" si="4"/>
        <v>0</v>
      </c>
      <c r="I83" s="70">
        <f t="shared" si="4"/>
        <v>81.372</v>
      </c>
      <c r="J83" s="50"/>
    </row>
    <row r="84" spans="2:10" ht="12.75">
      <c r="B84" s="71" t="s">
        <v>5</v>
      </c>
      <c r="C84" s="72"/>
      <c r="D84" s="73">
        <f t="shared" si="4"/>
        <v>0</v>
      </c>
      <c r="E84" s="74">
        <f t="shared" si="4"/>
        <v>20639.994680000003</v>
      </c>
      <c r="F84" s="75">
        <f t="shared" si="4"/>
        <v>504.494</v>
      </c>
      <c r="G84" s="73">
        <f t="shared" si="4"/>
        <v>0</v>
      </c>
      <c r="H84" s="74">
        <f t="shared" si="4"/>
        <v>8841.98</v>
      </c>
      <c r="I84" s="75">
        <f t="shared" si="4"/>
        <v>900.547</v>
      </c>
      <c r="J84" s="50"/>
    </row>
    <row r="85" spans="2:10" ht="12.75">
      <c r="B85" s="71" t="s">
        <v>6</v>
      </c>
      <c r="C85" s="72"/>
      <c r="D85" s="74">
        <f t="shared" si="4"/>
        <v>6172.089</v>
      </c>
      <c r="E85" s="73">
        <f t="shared" si="4"/>
        <v>0</v>
      </c>
      <c r="F85" s="75">
        <f t="shared" si="4"/>
        <v>73.454</v>
      </c>
      <c r="G85" s="74">
        <f t="shared" si="4"/>
        <v>7488.496</v>
      </c>
      <c r="H85" s="73">
        <f t="shared" si="4"/>
        <v>0</v>
      </c>
      <c r="I85" s="75">
        <f t="shared" si="4"/>
        <v>87.385</v>
      </c>
      <c r="J85" s="50"/>
    </row>
    <row r="86" spans="2:10" ht="12.75">
      <c r="B86" s="71" t="s">
        <v>7</v>
      </c>
      <c r="C86" s="72"/>
      <c r="D86" s="428">
        <f t="shared" si="4"/>
        <v>743.7980600000001</v>
      </c>
      <c r="E86" s="74">
        <f t="shared" si="4"/>
        <v>18837.26606</v>
      </c>
      <c r="F86" s="75">
        <f t="shared" si="4"/>
        <v>706.68923</v>
      </c>
      <c r="G86" s="74">
        <f t="shared" si="4"/>
        <v>0</v>
      </c>
      <c r="H86" s="74">
        <f t="shared" si="4"/>
        <v>20010.269</v>
      </c>
      <c r="I86" s="75">
        <f t="shared" si="4"/>
        <v>441.891</v>
      </c>
      <c r="J86" s="50"/>
    </row>
    <row r="87" spans="2:10" ht="12.75">
      <c r="B87" s="71" t="s">
        <v>8</v>
      </c>
      <c r="C87" s="72"/>
      <c r="D87" s="73">
        <f t="shared" si="4"/>
        <v>0</v>
      </c>
      <c r="E87" s="74">
        <f t="shared" si="4"/>
        <v>1280.1191999999999</v>
      </c>
      <c r="F87" s="75">
        <f t="shared" si="4"/>
        <v>862.89616</v>
      </c>
      <c r="G87" s="74">
        <f t="shared" si="4"/>
        <v>0</v>
      </c>
      <c r="H87" s="74">
        <f t="shared" si="4"/>
        <v>5020.901</v>
      </c>
      <c r="I87" s="75">
        <f t="shared" si="4"/>
        <v>700.509</v>
      </c>
      <c r="J87" s="50"/>
    </row>
    <row r="88" spans="2:10" ht="12.75">
      <c r="B88" s="71" t="s">
        <v>9</v>
      </c>
      <c r="C88" s="72"/>
      <c r="D88" s="74">
        <f t="shared" si="4"/>
        <v>9694.31105</v>
      </c>
      <c r="E88" s="73">
        <f t="shared" si="4"/>
        <v>0</v>
      </c>
      <c r="F88" s="75">
        <f t="shared" si="4"/>
        <v>649.66432</v>
      </c>
      <c r="G88" s="74">
        <f t="shared" si="4"/>
        <v>8369.393</v>
      </c>
      <c r="H88" s="73">
        <f t="shared" si="4"/>
        <v>0</v>
      </c>
      <c r="I88" s="75">
        <f t="shared" si="4"/>
        <v>475.235</v>
      </c>
      <c r="J88" s="50"/>
    </row>
    <row r="89" spans="2:10" ht="12.75">
      <c r="B89" s="71" t="s">
        <v>10</v>
      </c>
      <c r="C89" s="72"/>
      <c r="D89" s="74">
        <f t="shared" si="4"/>
        <v>399.79359</v>
      </c>
      <c r="E89" s="73">
        <f t="shared" si="4"/>
        <v>0</v>
      </c>
      <c r="F89" s="75">
        <f t="shared" si="4"/>
        <v>21.14562</v>
      </c>
      <c r="G89" s="74">
        <f t="shared" si="4"/>
        <v>363.06</v>
      </c>
      <c r="H89" s="73">
        <f t="shared" si="4"/>
        <v>0</v>
      </c>
      <c r="I89" s="75">
        <f t="shared" si="4"/>
        <v>42.686</v>
      </c>
      <c r="J89" s="50"/>
    </row>
    <row r="90" spans="2:10" ht="12.75">
      <c r="B90" s="76" t="s">
        <v>11</v>
      </c>
      <c r="C90" s="77"/>
      <c r="D90" s="74">
        <f t="shared" si="4"/>
        <v>136752.66100000002</v>
      </c>
      <c r="E90" s="73">
        <f t="shared" si="4"/>
        <v>0</v>
      </c>
      <c r="F90" s="75">
        <f t="shared" si="4"/>
        <v>174.816</v>
      </c>
      <c r="G90" s="74">
        <f t="shared" si="4"/>
        <v>110808.118</v>
      </c>
      <c r="H90" s="73">
        <f t="shared" si="4"/>
        <v>0</v>
      </c>
      <c r="I90" s="75">
        <f t="shared" si="4"/>
        <v>316.043</v>
      </c>
      <c r="J90" s="50"/>
    </row>
    <row r="91" spans="2:10" ht="12.75">
      <c r="B91" s="76" t="s">
        <v>12</v>
      </c>
      <c r="C91" s="77"/>
      <c r="D91" s="73">
        <f t="shared" si="4"/>
        <v>0</v>
      </c>
      <c r="E91" s="74">
        <f t="shared" si="4"/>
        <v>12164.436924000001</v>
      </c>
      <c r="F91" s="75">
        <f t="shared" si="4"/>
        <v>63.07757</v>
      </c>
      <c r="G91" s="73">
        <f t="shared" si="4"/>
        <v>0</v>
      </c>
      <c r="H91" s="74">
        <f t="shared" si="4"/>
        <v>6381.004000000001</v>
      </c>
      <c r="I91" s="75">
        <f t="shared" si="4"/>
        <v>72.018</v>
      </c>
      <c r="J91" s="50"/>
    </row>
    <row r="92" spans="2:10" ht="12.75">
      <c r="B92" s="78" t="s">
        <v>13</v>
      </c>
      <c r="C92" s="77"/>
      <c r="D92" s="74">
        <f t="shared" si="4"/>
        <v>656.6924300000001</v>
      </c>
      <c r="E92" s="73">
        <f t="shared" si="4"/>
        <v>0</v>
      </c>
      <c r="F92" s="79">
        <f t="shared" si="4"/>
        <v>0</v>
      </c>
      <c r="G92" s="74">
        <f t="shared" si="4"/>
        <v>788.069</v>
      </c>
      <c r="H92" s="73">
        <f t="shared" si="4"/>
        <v>0</v>
      </c>
      <c r="I92" s="79">
        <f t="shared" si="4"/>
        <v>0</v>
      </c>
      <c r="J92" s="50"/>
    </row>
    <row r="93" spans="2:10" ht="12.75">
      <c r="B93" s="76" t="s">
        <v>14</v>
      </c>
      <c r="C93" s="77"/>
      <c r="D93" s="73">
        <f t="shared" si="4"/>
        <v>0</v>
      </c>
      <c r="E93" s="74">
        <f t="shared" si="4"/>
        <v>34775.34277</v>
      </c>
      <c r="F93" s="75">
        <f t="shared" si="4"/>
        <v>316.78415</v>
      </c>
      <c r="G93" s="73">
        <f t="shared" si="4"/>
        <v>0</v>
      </c>
      <c r="H93" s="74">
        <f t="shared" si="4"/>
        <v>41940.385</v>
      </c>
      <c r="I93" s="75">
        <f t="shared" si="4"/>
        <v>7.097</v>
      </c>
      <c r="J93" s="50"/>
    </row>
    <row r="94" spans="2:10" ht="12.75">
      <c r="B94" s="76" t="s">
        <v>30</v>
      </c>
      <c r="C94" s="77"/>
      <c r="D94" s="74">
        <f t="shared" si="4"/>
        <v>1745.33905</v>
      </c>
      <c r="E94" s="73">
        <f t="shared" si="4"/>
        <v>0</v>
      </c>
      <c r="F94" s="75">
        <f t="shared" si="4"/>
        <v>28.58552</v>
      </c>
      <c r="G94" s="74">
        <f t="shared" si="4"/>
        <v>2228.7039999999997</v>
      </c>
      <c r="H94" s="73">
        <f t="shared" si="4"/>
        <v>0</v>
      </c>
      <c r="I94" s="75">
        <f t="shared" si="4"/>
        <v>34.785</v>
      </c>
      <c r="J94" s="50"/>
    </row>
    <row r="95" spans="2:10" ht="12.75">
      <c r="B95" s="76" t="s">
        <v>16</v>
      </c>
      <c r="C95" s="80"/>
      <c r="D95" s="74">
        <f t="shared" si="4"/>
        <v>1844.24635</v>
      </c>
      <c r="E95" s="73">
        <f t="shared" si="4"/>
        <v>0</v>
      </c>
      <c r="F95" s="75">
        <f t="shared" si="4"/>
        <v>29.8985</v>
      </c>
      <c r="G95" s="74">
        <f t="shared" si="4"/>
        <v>1482.901</v>
      </c>
      <c r="H95" s="73">
        <f t="shared" si="4"/>
        <v>0</v>
      </c>
      <c r="I95" s="75">
        <f t="shared" si="4"/>
        <v>18.024</v>
      </c>
      <c r="J95" s="50"/>
    </row>
    <row r="96" spans="2:10" ht="13.5" thickBot="1">
      <c r="B96" s="76" t="s">
        <v>17</v>
      </c>
      <c r="C96" s="80"/>
      <c r="D96" s="74">
        <f t="shared" si="4"/>
        <v>1094.6406</v>
      </c>
      <c r="E96" s="73">
        <f t="shared" si="4"/>
        <v>0</v>
      </c>
      <c r="F96" s="75">
        <f t="shared" si="4"/>
        <v>67.8375</v>
      </c>
      <c r="G96" s="74">
        <f t="shared" si="4"/>
        <v>178.869</v>
      </c>
      <c r="H96" s="73">
        <f t="shared" si="4"/>
        <v>0</v>
      </c>
      <c r="I96" s="75">
        <f t="shared" si="4"/>
        <v>66.254</v>
      </c>
      <c r="J96" s="50"/>
    </row>
    <row r="97" spans="2:10" ht="13.5" thickBot="1">
      <c r="B97" s="23" t="s">
        <v>24</v>
      </c>
      <c r="C97" s="44"/>
      <c r="D97" s="25">
        <f aca="true" t="shared" si="5" ref="D97:I97">SUM(D83:D96)</f>
        <v>164013.43913000004</v>
      </c>
      <c r="E97" s="25">
        <f t="shared" si="5"/>
        <v>87697.15963400001</v>
      </c>
      <c r="F97" s="25">
        <f t="shared" si="5"/>
        <v>3551.199569999999</v>
      </c>
      <c r="G97" s="25">
        <f t="shared" si="5"/>
        <v>137382.25100000002</v>
      </c>
      <c r="H97" s="25">
        <f t="shared" si="5"/>
        <v>82194.539</v>
      </c>
      <c r="I97" s="25">
        <f t="shared" si="5"/>
        <v>3243.8460000000005</v>
      </c>
      <c r="J97" s="50"/>
    </row>
    <row r="98" ht="12.75">
      <c r="J98" s="50"/>
    </row>
    <row r="99" ht="12.75">
      <c r="J99" s="50"/>
    </row>
    <row r="100" ht="12.75">
      <c r="J100" s="50"/>
    </row>
    <row r="101" ht="12.75">
      <c r="J101" s="50"/>
    </row>
    <row r="102" ht="12.75">
      <c r="J102" s="50"/>
    </row>
    <row r="103" ht="12.75">
      <c r="J103" s="50"/>
    </row>
    <row r="104" ht="12.75">
      <c r="J104" s="50"/>
    </row>
    <row r="105" ht="12.75">
      <c r="J105" s="50"/>
    </row>
    <row r="106" ht="12.75">
      <c r="J106" s="50"/>
    </row>
    <row r="107" ht="12.75">
      <c r="J107" s="50"/>
    </row>
    <row r="108" ht="12.75">
      <c r="J108" s="50"/>
    </row>
    <row r="109" ht="12.75">
      <c r="J109" s="50"/>
    </row>
  </sheetData>
  <printOptions horizontalCentered="1" verticalCentered="1"/>
  <pageMargins left="0" right="0" top="0.3937007874015748" bottom="0.1968503937007874" header="0.1968503937007874" footer="0.5118110236220472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zoomScale="80" zoomScaleNormal="80" workbookViewId="0" topLeftCell="A43">
      <selection activeCell="F23" sqref="F23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14.8515625" style="1" bestFit="1" customWidth="1"/>
    <col min="4" max="4" width="13.28125" style="1" customWidth="1"/>
    <col min="5" max="5" width="15.421875" style="1" customWidth="1"/>
    <col min="6" max="7" width="9.140625" style="1" customWidth="1"/>
    <col min="8" max="8" width="14.28125" style="1" customWidth="1"/>
    <col min="9" max="16384" width="9.140625" style="1" customWidth="1"/>
  </cols>
  <sheetData>
    <row r="1" ht="15.75">
      <c r="E1" s="2" t="s">
        <v>494</v>
      </c>
    </row>
    <row r="2" ht="15.75">
      <c r="B2" s="3" t="s">
        <v>327</v>
      </c>
    </row>
    <row r="3" ht="13.5" customHeight="1">
      <c r="B3" s="4" t="s">
        <v>0</v>
      </c>
    </row>
    <row r="4" ht="13.5" thickBot="1">
      <c r="E4" s="4" t="s">
        <v>1</v>
      </c>
    </row>
    <row r="5" spans="2:7" ht="43.5" customHeight="1" thickBot="1">
      <c r="B5" s="5"/>
      <c r="C5" s="430" t="s">
        <v>325</v>
      </c>
      <c r="D5" s="431" t="s">
        <v>2</v>
      </c>
      <c r="E5" s="432" t="s">
        <v>326</v>
      </c>
      <c r="F5" s="7"/>
      <c r="G5" s="7"/>
    </row>
    <row r="6" spans="2:5" ht="13.5" thickBot="1">
      <c r="B6" s="8" t="s">
        <v>3</v>
      </c>
      <c r="C6" s="9">
        <v>1</v>
      </c>
      <c r="D6" s="10">
        <v>2</v>
      </c>
      <c r="E6" s="11">
        <v>3</v>
      </c>
    </row>
    <row r="7" spans="2:7" ht="12.75">
      <c r="B7" s="12" t="s">
        <v>4</v>
      </c>
      <c r="C7" s="269">
        <f>penFondy!H6</f>
        <v>544</v>
      </c>
      <c r="D7" s="13"/>
      <c r="E7" s="14">
        <f aca="true" t="shared" si="0" ref="E7:E20">SUM(C7:D7)</f>
        <v>544</v>
      </c>
      <c r="G7" s="15"/>
    </row>
    <row r="8" spans="2:7" ht="12.75">
      <c r="B8" s="16" t="s">
        <v>5</v>
      </c>
      <c r="C8" s="258">
        <f>penFondy!H7</f>
        <v>159.687</v>
      </c>
      <c r="D8" s="276">
        <v>627.87208</v>
      </c>
      <c r="E8" s="19">
        <f t="shared" si="0"/>
        <v>787.55908</v>
      </c>
      <c r="G8" s="15"/>
    </row>
    <row r="9" spans="2:7" ht="12.75">
      <c r="B9" s="16" t="s">
        <v>6</v>
      </c>
      <c r="C9" s="258">
        <f>penFondy!H8</f>
        <v>56.929</v>
      </c>
      <c r="D9" s="276">
        <v>203.12</v>
      </c>
      <c r="E9" s="19">
        <f t="shared" si="0"/>
        <v>260.049</v>
      </c>
      <c r="G9" s="15"/>
    </row>
    <row r="10" spans="2:7" ht="12.75">
      <c r="B10" s="16" t="s">
        <v>7</v>
      </c>
      <c r="C10" s="258">
        <f>penFondy!H9</f>
        <v>1014.5520000000001</v>
      </c>
      <c r="D10" s="276">
        <v>1000</v>
      </c>
      <c r="E10" s="19">
        <f t="shared" si="0"/>
        <v>2014.5520000000001</v>
      </c>
      <c r="G10" s="15"/>
    </row>
    <row r="11" spans="2:7" ht="12.75">
      <c r="B11" s="16" t="s">
        <v>8</v>
      </c>
      <c r="C11" s="258">
        <f>penFondy!H10</f>
        <v>264.214</v>
      </c>
      <c r="D11" s="276">
        <v>66</v>
      </c>
      <c r="E11" s="19">
        <f t="shared" si="0"/>
        <v>330.214</v>
      </c>
      <c r="G11" s="15"/>
    </row>
    <row r="12" spans="2:7" ht="12.75">
      <c r="B12" s="16" t="s">
        <v>9</v>
      </c>
      <c r="C12" s="258">
        <f>penFondy!H11</f>
        <v>1418.706</v>
      </c>
      <c r="D12" s="276">
        <v>83</v>
      </c>
      <c r="E12" s="19">
        <f t="shared" si="0"/>
        <v>1501.706</v>
      </c>
      <c r="G12" s="15"/>
    </row>
    <row r="13" spans="2:7" ht="12.75">
      <c r="B13" s="16" t="s">
        <v>10</v>
      </c>
      <c r="C13" s="258">
        <f>penFondy!H12</f>
        <v>0</v>
      </c>
      <c r="D13" s="276"/>
      <c r="E13" s="19">
        <f t="shared" si="0"/>
        <v>0</v>
      </c>
      <c r="G13" s="15"/>
    </row>
    <row r="14" spans="2:7" ht="12.75">
      <c r="B14" s="16" t="s">
        <v>11</v>
      </c>
      <c r="C14" s="258">
        <f>penFondy!H13</f>
        <v>160.60600000000005</v>
      </c>
      <c r="D14" s="276">
        <v>95.853</v>
      </c>
      <c r="E14" s="19">
        <f t="shared" si="0"/>
        <v>256.45900000000006</v>
      </c>
      <c r="G14" s="15"/>
    </row>
    <row r="15" spans="2:7" ht="12.75">
      <c r="B15" s="16" t="s">
        <v>12</v>
      </c>
      <c r="C15" s="258">
        <f>penFondy!H14</f>
        <v>220.47000000000003</v>
      </c>
      <c r="D15" s="276">
        <v>635.15456</v>
      </c>
      <c r="E15" s="19">
        <f t="shared" si="0"/>
        <v>855.62456</v>
      </c>
      <c r="G15" s="15"/>
    </row>
    <row r="16" spans="2:7" ht="12.75">
      <c r="B16" s="20" t="s">
        <v>13</v>
      </c>
      <c r="C16" s="258">
        <f>penFondy!H15</f>
        <v>0</v>
      </c>
      <c r="D16" s="276"/>
      <c r="E16" s="19">
        <f t="shared" si="0"/>
        <v>0</v>
      </c>
      <c r="G16" s="15"/>
    </row>
    <row r="17" spans="2:7" ht="12.75">
      <c r="B17" s="20" t="s">
        <v>14</v>
      </c>
      <c r="C17" s="258">
        <f>penFondy!H16</f>
        <v>52.68100000000004</v>
      </c>
      <c r="D17" s="276">
        <v>1000</v>
      </c>
      <c r="E17" s="19">
        <f t="shared" si="0"/>
        <v>1052.681</v>
      </c>
      <c r="G17" s="15"/>
    </row>
    <row r="18" spans="2:7" ht="12.75">
      <c r="B18" s="16" t="s">
        <v>15</v>
      </c>
      <c r="C18" s="258">
        <f>penFondy!H17</f>
        <v>267.677</v>
      </c>
      <c r="D18" s="276"/>
      <c r="E18" s="19">
        <f t="shared" si="0"/>
        <v>267.677</v>
      </c>
      <c r="G18" s="15"/>
    </row>
    <row r="19" spans="2:7" ht="12.75">
      <c r="B19" s="20" t="s">
        <v>16</v>
      </c>
      <c r="C19" s="270">
        <f>penFondy!H18</f>
        <v>0</v>
      </c>
      <c r="D19" s="433"/>
      <c r="E19" s="22">
        <f t="shared" si="0"/>
        <v>0</v>
      </c>
      <c r="G19" s="15"/>
    </row>
    <row r="20" spans="2:7" ht="13.5" thickBot="1">
      <c r="B20" s="16" t="s">
        <v>17</v>
      </c>
      <c r="C20" s="258">
        <f>penFondy!H19</f>
        <v>90.352</v>
      </c>
      <c r="D20" s="276"/>
      <c r="E20" s="19">
        <f t="shared" si="0"/>
        <v>90.352</v>
      </c>
      <c r="G20" s="15"/>
    </row>
    <row r="21" spans="2:5" ht="16.5" customHeight="1" thickBot="1">
      <c r="B21" s="23" t="s">
        <v>18</v>
      </c>
      <c r="C21" s="24">
        <f>SUM(C7:C20)</f>
        <v>4249.874</v>
      </c>
      <c r="D21" s="441">
        <f>SUM(D7:D20)</f>
        <v>3710.99964</v>
      </c>
      <c r="E21" s="25">
        <f>SUM(E7:E20)</f>
        <v>7960.873639999999</v>
      </c>
    </row>
    <row r="22" ht="13.5" thickBot="1">
      <c r="D22" s="442"/>
    </row>
    <row r="23" spans="2:5" ht="13.5" thickBot="1">
      <c r="B23" s="26" t="s">
        <v>19</v>
      </c>
      <c r="C23" s="9">
        <v>1</v>
      </c>
      <c r="D23" s="443">
        <v>2</v>
      </c>
      <c r="E23" s="11">
        <v>3</v>
      </c>
    </row>
    <row r="24" spans="2:5" ht="12.75">
      <c r="B24" s="12" t="s">
        <v>4</v>
      </c>
      <c r="C24" s="269">
        <f>penFondy!H42</f>
        <v>2127.089</v>
      </c>
      <c r="D24" s="444">
        <v>978.343</v>
      </c>
      <c r="E24" s="14">
        <f aca="true" t="shared" si="1" ref="E24:E37">SUM(C24:D24)</f>
        <v>3105.432</v>
      </c>
    </row>
    <row r="25" spans="2:5" ht="12.75">
      <c r="B25" s="16" t="s">
        <v>5</v>
      </c>
      <c r="C25" s="258">
        <f>penFondy!H43</f>
        <v>1114.9399999999996</v>
      </c>
      <c r="D25" s="276">
        <v>2919</v>
      </c>
      <c r="E25" s="19">
        <f t="shared" si="1"/>
        <v>4033.9399999999996</v>
      </c>
    </row>
    <row r="26" spans="2:5" ht="12.75">
      <c r="B26" s="16" t="s">
        <v>6</v>
      </c>
      <c r="C26" s="258">
        <f>penFondy!H44</f>
        <v>31.942999999999998</v>
      </c>
      <c r="D26" s="276">
        <v>1151.013</v>
      </c>
      <c r="E26" s="19">
        <f t="shared" si="1"/>
        <v>1182.956</v>
      </c>
    </row>
    <row r="27" spans="2:5" ht="12.75">
      <c r="B27" s="16" t="s">
        <v>7</v>
      </c>
      <c r="C27" s="258">
        <f>penFondy!H45</f>
        <v>7896.409000000001</v>
      </c>
      <c r="D27" s="276">
        <v>1265.656</v>
      </c>
      <c r="E27" s="19">
        <f t="shared" si="1"/>
        <v>9162.065</v>
      </c>
    </row>
    <row r="28" spans="2:5" ht="12.75">
      <c r="B28" s="16" t="s">
        <v>8</v>
      </c>
      <c r="C28" s="258">
        <f>penFondy!H46</f>
        <v>3527.1380000000026</v>
      </c>
      <c r="D28" s="276">
        <v>36.891</v>
      </c>
      <c r="E28" s="19">
        <f t="shared" si="1"/>
        <v>3564.0290000000027</v>
      </c>
    </row>
    <row r="29" spans="2:5" ht="12.75">
      <c r="B29" s="16" t="s">
        <v>9</v>
      </c>
      <c r="C29" s="258">
        <f>penFondy!H47</f>
        <v>2250.243</v>
      </c>
      <c r="D29" s="276">
        <v>54.271</v>
      </c>
      <c r="E29" s="19">
        <f t="shared" si="1"/>
        <v>2304.514</v>
      </c>
    </row>
    <row r="30" spans="2:5" ht="12.75">
      <c r="B30" s="16" t="s">
        <v>10</v>
      </c>
      <c r="C30" s="258">
        <f>penFondy!H48</f>
        <v>149.626</v>
      </c>
      <c r="D30" s="276">
        <v>22.904</v>
      </c>
      <c r="E30" s="19">
        <f t="shared" si="1"/>
        <v>172.53</v>
      </c>
    </row>
    <row r="31" spans="2:5" ht="12.75">
      <c r="B31" s="16" t="s">
        <v>11</v>
      </c>
      <c r="C31" s="258">
        <f>penFondy!H49</f>
        <v>94633.12899999999</v>
      </c>
      <c r="D31" s="276">
        <v>23.964</v>
      </c>
      <c r="E31" s="19">
        <f t="shared" si="1"/>
        <v>94657.093</v>
      </c>
    </row>
    <row r="32" spans="2:5" ht="12.75">
      <c r="B32" s="16" t="s">
        <v>12</v>
      </c>
      <c r="C32" s="258">
        <f>penFondy!H50</f>
        <v>4141.884</v>
      </c>
      <c r="D32" s="276">
        <v>3500</v>
      </c>
      <c r="E32" s="19">
        <f t="shared" si="1"/>
        <v>7641.884</v>
      </c>
    </row>
    <row r="33" spans="2:5" ht="12.75">
      <c r="B33" s="20" t="s">
        <v>13</v>
      </c>
      <c r="C33" s="258">
        <f>penFondy!H51</f>
        <v>333.464</v>
      </c>
      <c r="D33" s="433">
        <v>45.043</v>
      </c>
      <c r="E33" s="22">
        <f t="shared" si="1"/>
        <v>378.507</v>
      </c>
    </row>
    <row r="34" spans="2:5" ht="12.75">
      <c r="B34" s="20" t="s">
        <v>14</v>
      </c>
      <c r="C34" s="258">
        <f>penFondy!H52</f>
        <v>18495.381999999998</v>
      </c>
      <c r="D34" s="276">
        <v>1925.60626</v>
      </c>
      <c r="E34" s="19">
        <f t="shared" si="1"/>
        <v>20420.98826</v>
      </c>
    </row>
    <row r="35" spans="2:5" ht="12.75">
      <c r="B35" s="16" t="s">
        <v>15</v>
      </c>
      <c r="C35" s="258">
        <f>penFondy!H53</f>
        <v>821.699</v>
      </c>
      <c r="D35" s="276">
        <v>476.183</v>
      </c>
      <c r="E35" s="19">
        <f t="shared" si="1"/>
        <v>1297.882</v>
      </c>
    </row>
    <row r="36" spans="2:5" ht="12.75">
      <c r="B36" s="20" t="s">
        <v>16</v>
      </c>
      <c r="C36" s="270">
        <f>penFondy!H54</f>
        <v>0</v>
      </c>
      <c r="D36" s="276"/>
      <c r="E36" s="19">
        <f t="shared" si="1"/>
        <v>0</v>
      </c>
    </row>
    <row r="37" spans="2:5" ht="13.5" thickBot="1">
      <c r="B37" s="16" t="s">
        <v>17</v>
      </c>
      <c r="C37" s="258">
        <f>penFondy!H55</f>
        <v>23.197</v>
      </c>
      <c r="D37" s="276"/>
      <c r="E37" s="19">
        <f t="shared" si="1"/>
        <v>23.197</v>
      </c>
    </row>
    <row r="38" spans="2:7" ht="13.5" thickBot="1">
      <c r="B38" s="23" t="s">
        <v>20</v>
      </c>
      <c r="C38" s="27">
        <f>SUM(C24:C37)</f>
        <v>135546.14299999998</v>
      </c>
      <c r="D38" s="25">
        <f>SUM(D24:D37)</f>
        <v>12398.87426</v>
      </c>
      <c r="E38" s="25">
        <f>SUM(E24:E37)</f>
        <v>147945.01726</v>
      </c>
      <c r="G38" s="15"/>
    </row>
    <row r="39" ht="13.5" thickBot="1"/>
    <row r="40" spans="2:5" ht="13.5" thickBot="1">
      <c r="B40" s="26" t="s">
        <v>21</v>
      </c>
      <c r="C40" s="9">
        <v>1</v>
      </c>
      <c r="D40" s="10">
        <v>2</v>
      </c>
      <c r="E40" s="11">
        <v>3</v>
      </c>
    </row>
    <row r="41" spans="2:5" ht="12.75">
      <c r="B41" s="12" t="s">
        <v>4</v>
      </c>
      <c r="C41" s="269">
        <f>penFondy!H60</f>
        <v>3003.552</v>
      </c>
      <c r="D41" s="269"/>
      <c r="E41" s="14">
        <f aca="true" t="shared" si="2" ref="E41:E54">SUM(C41:D41)</f>
        <v>3003.552</v>
      </c>
    </row>
    <row r="42" spans="2:5" ht="12.75">
      <c r="B42" s="16" t="s">
        <v>5</v>
      </c>
      <c r="C42" s="258">
        <f>penFondy!H61</f>
        <v>7809.239999999998</v>
      </c>
      <c r="D42" s="258"/>
      <c r="E42" s="28">
        <f t="shared" si="2"/>
        <v>7809.239999999998</v>
      </c>
    </row>
    <row r="43" spans="2:5" ht="12.75">
      <c r="B43" s="16" t="s">
        <v>6</v>
      </c>
      <c r="C43" s="258">
        <f>penFondy!H62</f>
        <v>7399.624</v>
      </c>
      <c r="D43" s="258"/>
      <c r="E43" s="19">
        <f t="shared" si="2"/>
        <v>7399.624</v>
      </c>
    </row>
    <row r="44" spans="2:5" ht="12.75">
      <c r="B44" s="16" t="s">
        <v>7</v>
      </c>
      <c r="C44" s="258">
        <f>penFondy!H63</f>
        <v>10632.993000000002</v>
      </c>
      <c r="D44" s="258"/>
      <c r="E44" s="19">
        <f t="shared" si="2"/>
        <v>10632.993000000002</v>
      </c>
    </row>
    <row r="45" spans="2:5" ht="12.75">
      <c r="B45" s="16" t="s">
        <v>8</v>
      </c>
      <c r="C45" s="258">
        <f>penFondy!H64</f>
        <v>1078.862</v>
      </c>
      <c r="D45" s="258"/>
      <c r="E45" s="19">
        <f t="shared" si="2"/>
        <v>1078.862</v>
      </c>
    </row>
    <row r="46" spans="2:5" ht="12.75">
      <c r="B46" s="16" t="s">
        <v>9</v>
      </c>
      <c r="C46" s="258">
        <f>penFondy!H65</f>
        <v>4700.443000000001</v>
      </c>
      <c r="D46" s="258"/>
      <c r="E46" s="19">
        <f t="shared" si="2"/>
        <v>4700.443000000001</v>
      </c>
    </row>
    <row r="47" spans="2:5" ht="12.75">
      <c r="B47" s="16" t="s">
        <v>10</v>
      </c>
      <c r="C47" s="258">
        <f>penFondy!H66</f>
        <v>213.433</v>
      </c>
      <c r="D47" s="277">
        <v>7.634</v>
      </c>
      <c r="E47" s="19">
        <f t="shared" si="2"/>
        <v>221.067</v>
      </c>
    </row>
    <row r="48" spans="2:5" ht="12.75">
      <c r="B48" s="16" t="s">
        <v>11</v>
      </c>
      <c r="C48" s="258">
        <f>penFondy!H67</f>
        <v>2855.6369999999997</v>
      </c>
      <c r="D48" s="258"/>
      <c r="E48" s="19">
        <f t="shared" si="2"/>
        <v>2855.6369999999997</v>
      </c>
    </row>
    <row r="49" spans="2:5" ht="12.75">
      <c r="B49" s="16" t="s">
        <v>12</v>
      </c>
      <c r="C49" s="258">
        <f>penFondy!H68</f>
        <v>6237.718000000002</v>
      </c>
      <c r="D49" s="258"/>
      <c r="E49" s="19">
        <f t="shared" si="2"/>
        <v>6237.718000000002</v>
      </c>
    </row>
    <row r="50" spans="2:5" ht="12.75">
      <c r="B50" s="20" t="s">
        <v>13</v>
      </c>
      <c r="C50" s="258">
        <f>penFondy!H69</f>
        <v>454.604</v>
      </c>
      <c r="D50" s="270"/>
      <c r="E50" s="22">
        <f t="shared" si="2"/>
        <v>454.604</v>
      </c>
    </row>
    <row r="51" spans="2:5" ht="12.75">
      <c r="B51" s="20" t="s">
        <v>14</v>
      </c>
      <c r="C51" s="258">
        <f>penFondy!H70</f>
        <v>22673.85</v>
      </c>
      <c r="D51" s="258"/>
      <c r="E51" s="19">
        <f t="shared" si="2"/>
        <v>22673.85</v>
      </c>
    </row>
    <row r="52" spans="2:5" ht="12.75">
      <c r="B52" s="16" t="s">
        <v>15</v>
      </c>
      <c r="C52" s="258">
        <f>penFondy!H71</f>
        <v>1140.079</v>
      </c>
      <c r="D52" s="258"/>
      <c r="E52" s="19">
        <f t="shared" si="2"/>
        <v>1140.079</v>
      </c>
    </row>
    <row r="53" spans="2:5" ht="12.75">
      <c r="B53" s="20" t="s">
        <v>16</v>
      </c>
      <c r="C53" s="270">
        <f>penFondy!H72</f>
        <v>1482.901</v>
      </c>
      <c r="D53" s="258"/>
      <c r="E53" s="19">
        <f t="shared" si="2"/>
        <v>1482.901</v>
      </c>
    </row>
    <row r="54" spans="2:5" ht="13.5" thickBot="1">
      <c r="B54" s="16" t="s">
        <v>17</v>
      </c>
      <c r="C54" s="277">
        <f>penFondy!H73</f>
        <v>65.31999999999994</v>
      </c>
      <c r="D54" s="258"/>
      <c r="E54" s="19">
        <f t="shared" si="2"/>
        <v>65.31999999999994</v>
      </c>
    </row>
    <row r="55" spans="2:7" ht="13.5" thickBot="1">
      <c r="B55" s="23" t="s">
        <v>22</v>
      </c>
      <c r="C55" s="27">
        <f>SUM(C41:C54)</f>
        <v>69748.25600000001</v>
      </c>
      <c r="D55" s="25">
        <f>SUM(D41:D54)</f>
        <v>7.634</v>
      </c>
      <c r="E55" s="25">
        <f>SUM(E41:E54)</f>
        <v>69755.89</v>
      </c>
      <c r="G55" s="15"/>
    </row>
    <row r="56" spans="2:7" ht="13.5" thickBot="1">
      <c r="B56" s="29"/>
      <c r="C56" s="30"/>
      <c r="D56" s="31"/>
      <c r="E56" s="31"/>
      <c r="G56" s="15"/>
    </row>
    <row r="57" spans="2:5" ht="13.5" thickBot="1">
      <c r="B57" s="26" t="s">
        <v>23</v>
      </c>
      <c r="C57" s="32">
        <v>1</v>
      </c>
      <c r="D57" s="10">
        <v>2</v>
      </c>
      <c r="E57" s="11">
        <v>3</v>
      </c>
    </row>
    <row r="58" spans="2:5" ht="12.75">
      <c r="B58" s="12" t="s">
        <v>4</v>
      </c>
      <c r="C58" s="33">
        <f aca="true" t="shared" si="3" ref="C58:C71">SUM(C7,C24,C41)</f>
        <v>5674.641</v>
      </c>
      <c r="D58" s="34">
        <f aca="true" t="shared" si="4" ref="D58:E71">D7+D24+D41</f>
        <v>978.343</v>
      </c>
      <c r="E58" s="35">
        <f t="shared" si="4"/>
        <v>6652.984</v>
      </c>
    </row>
    <row r="59" spans="2:5" ht="12.75">
      <c r="B59" s="16" t="s">
        <v>5</v>
      </c>
      <c r="C59" s="36">
        <f t="shared" si="3"/>
        <v>9083.866999999998</v>
      </c>
      <c r="D59" s="37">
        <f t="shared" si="4"/>
        <v>3546.87208</v>
      </c>
      <c r="E59" s="28">
        <f t="shared" si="4"/>
        <v>12630.739079999998</v>
      </c>
    </row>
    <row r="60" spans="2:5" ht="12.75">
      <c r="B60" s="16" t="s">
        <v>6</v>
      </c>
      <c r="C60" s="36">
        <f t="shared" si="3"/>
        <v>7488.496</v>
      </c>
      <c r="D60" s="37">
        <f t="shared" si="4"/>
        <v>1354.1329999999998</v>
      </c>
      <c r="E60" s="28">
        <f t="shared" si="4"/>
        <v>8842.628999999999</v>
      </c>
    </row>
    <row r="61" spans="2:5" ht="12.75">
      <c r="B61" s="16" t="s">
        <v>7</v>
      </c>
      <c r="C61" s="36">
        <f t="shared" si="3"/>
        <v>19543.954000000005</v>
      </c>
      <c r="D61" s="37">
        <f t="shared" si="4"/>
        <v>2265.656</v>
      </c>
      <c r="E61" s="28">
        <f t="shared" si="4"/>
        <v>21809.61</v>
      </c>
    </row>
    <row r="62" spans="2:5" ht="12.75">
      <c r="B62" s="16" t="s">
        <v>8</v>
      </c>
      <c r="C62" s="36">
        <f t="shared" si="3"/>
        <v>4870.214000000003</v>
      </c>
      <c r="D62" s="37">
        <f t="shared" si="4"/>
        <v>102.89099999999999</v>
      </c>
      <c r="E62" s="28">
        <f t="shared" si="4"/>
        <v>4973.105000000003</v>
      </c>
    </row>
    <row r="63" spans="2:5" ht="12.75">
      <c r="B63" s="16" t="s">
        <v>9</v>
      </c>
      <c r="C63" s="36">
        <f t="shared" si="3"/>
        <v>8369.392</v>
      </c>
      <c r="D63" s="37">
        <f t="shared" si="4"/>
        <v>137.27100000000002</v>
      </c>
      <c r="E63" s="28">
        <f t="shared" si="4"/>
        <v>8506.663</v>
      </c>
    </row>
    <row r="64" spans="2:5" ht="12.75">
      <c r="B64" s="279" t="s">
        <v>10</v>
      </c>
      <c r="C64" s="36">
        <f t="shared" si="3"/>
        <v>363.05899999999997</v>
      </c>
      <c r="D64" s="37">
        <f t="shared" si="4"/>
        <v>30.538</v>
      </c>
      <c r="E64" s="28">
        <f t="shared" si="4"/>
        <v>393.597</v>
      </c>
    </row>
    <row r="65" spans="2:5" ht="12.75">
      <c r="B65" s="16" t="s">
        <v>11</v>
      </c>
      <c r="C65" s="36">
        <f t="shared" si="3"/>
        <v>97649.37199999999</v>
      </c>
      <c r="D65" s="37">
        <f t="shared" si="4"/>
        <v>119.817</v>
      </c>
      <c r="E65" s="28">
        <f t="shared" si="4"/>
        <v>97769.189</v>
      </c>
    </row>
    <row r="66" spans="2:5" ht="12.75">
      <c r="B66" s="279" t="s">
        <v>12</v>
      </c>
      <c r="C66" s="36">
        <f t="shared" si="3"/>
        <v>10600.072000000002</v>
      </c>
      <c r="D66" s="37">
        <f t="shared" si="4"/>
        <v>4135.15456</v>
      </c>
      <c r="E66" s="28">
        <f t="shared" si="4"/>
        <v>14735.226560000003</v>
      </c>
    </row>
    <row r="67" spans="2:5" ht="12.75">
      <c r="B67" s="20" t="s">
        <v>13</v>
      </c>
      <c r="C67" s="36">
        <f t="shared" si="3"/>
        <v>788.068</v>
      </c>
      <c r="D67" s="37">
        <f t="shared" si="4"/>
        <v>45.043</v>
      </c>
      <c r="E67" s="28">
        <f t="shared" si="4"/>
        <v>833.111</v>
      </c>
    </row>
    <row r="68" spans="2:5" ht="12.75">
      <c r="B68" s="20" t="s">
        <v>14</v>
      </c>
      <c r="C68" s="36">
        <f t="shared" si="3"/>
        <v>41221.913</v>
      </c>
      <c r="D68" s="37">
        <f t="shared" si="4"/>
        <v>2925.60626</v>
      </c>
      <c r="E68" s="28">
        <f t="shared" si="4"/>
        <v>44147.51926</v>
      </c>
    </row>
    <row r="69" spans="2:5" ht="12.75">
      <c r="B69" s="16" t="s">
        <v>15</v>
      </c>
      <c r="C69" s="36">
        <f t="shared" si="3"/>
        <v>2229.455</v>
      </c>
      <c r="D69" s="37">
        <f t="shared" si="4"/>
        <v>476.183</v>
      </c>
      <c r="E69" s="28">
        <f t="shared" si="4"/>
        <v>2705.638</v>
      </c>
    </row>
    <row r="70" spans="2:5" ht="12.75">
      <c r="B70" s="20" t="s">
        <v>16</v>
      </c>
      <c r="C70" s="36">
        <f t="shared" si="3"/>
        <v>1482.901</v>
      </c>
      <c r="D70" s="37">
        <f t="shared" si="4"/>
        <v>0</v>
      </c>
      <c r="E70" s="28">
        <f t="shared" si="4"/>
        <v>1482.901</v>
      </c>
    </row>
    <row r="71" spans="2:5" ht="13.5" thickBot="1">
      <c r="B71" s="279" t="s">
        <v>17</v>
      </c>
      <c r="C71" s="278">
        <f t="shared" si="3"/>
        <v>178.86899999999994</v>
      </c>
      <c r="D71" s="37">
        <f t="shared" si="4"/>
        <v>0</v>
      </c>
      <c r="E71" s="28">
        <f t="shared" si="4"/>
        <v>178.86899999999994</v>
      </c>
    </row>
    <row r="72" spans="2:7" ht="13.5" thickBot="1">
      <c r="B72" s="23" t="s">
        <v>24</v>
      </c>
      <c r="C72" s="38">
        <f>SUM(C58:C71)</f>
        <v>209544.27300000002</v>
      </c>
      <c r="D72" s="25">
        <f>SUM(D58:D71)</f>
        <v>16117.5079</v>
      </c>
      <c r="E72" s="25">
        <f>SUM(E58:E71)</f>
        <v>225661.78090000004</v>
      </c>
      <c r="G72" s="15"/>
    </row>
  </sheetData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53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421875" style="0" customWidth="1"/>
    <col min="2" max="2" width="35.28125" style="0" customWidth="1"/>
    <col min="3" max="6" width="8.57421875" style="0" bestFit="1" customWidth="1"/>
    <col min="7" max="7" width="5.140625" style="0" bestFit="1" customWidth="1"/>
    <col min="8" max="8" width="8.57421875" style="0" bestFit="1" customWidth="1"/>
    <col min="9" max="9" width="5.7109375" style="183" bestFit="1" customWidth="1"/>
    <col min="10" max="11" width="8.57421875" style="0" bestFit="1" customWidth="1"/>
    <col min="12" max="12" width="9.8515625" style="0" bestFit="1" customWidth="1"/>
    <col min="13" max="13" width="3.8515625" style="183" bestFit="1" customWidth="1"/>
    <col min="14" max="14" width="9.7109375" style="0" customWidth="1"/>
    <col min="15" max="15" width="8.28125" style="0" bestFit="1" customWidth="1"/>
    <col min="16" max="16" width="3.8515625" style="0" customWidth="1"/>
  </cols>
  <sheetData>
    <row r="1" spans="1:14" ht="15.75">
      <c r="A1" s="182" t="s">
        <v>461</v>
      </c>
      <c r="I1"/>
      <c r="N1" s="182" t="s">
        <v>215</v>
      </c>
    </row>
    <row r="2" spans="1:14" ht="16.5" thickBot="1">
      <c r="A2" s="182"/>
      <c r="N2" t="s">
        <v>1</v>
      </c>
    </row>
    <row r="3" spans="1:15" ht="66.75" customHeight="1">
      <c r="A3" s="445"/>
      <c r="B3" s="446"/>
      <c r="C3" s="186" t="s">
        <v>216</v>
      </c>
      <c r="D3" s="187" t="s">
        <v>217</v>
      </c>
      <c r="E3" s="188" t="s">
        <v>218</v>
      </c>
      <c r="F3" s="189" t="s">
        <v>219</v>
      </c>
      <c r="G3" s="186" t="s">
        <v>220</v>
      </c>
      <c r="H3" s="187" t="s">
        <v>221</v>
      </c>
      <c r="I3" s="280" t="s">
        <v>314</v>
      </c>
      <c r="J3" s="188" t="s">
        <v>222</v>
      </c>
      <c r="K3" s="188" t="s">
        <v>223</v>
      </c>
      <c r="L3" s="190" t="s">
        <v>224</v>
      </c>
      <c r="M3" s="339" t="s">
        <v>225</v>
      </c>
      <c r="N3" s="190" t="s">
        <v>226</v>
      </c>
      <c r="O3" s="188" t="s">
        <v>227</v>
      </c>
    </row>
    <row r="4" spans="1:15" ht="26.25" thickBot="1">
      <c r="A4" s="191" t="s">
        <v>228</v>
      </c>
      <c r="B4" s="192" t="s">
        <v>229</v>
      </c>
      <c r="C4" s="193" t="s">
        <v>230</v>
      </c>
      <c r="D4" s="194" t="s">
        <v>231</v>
      </c>
      <c r="E4" s="195"/>
      <c r="F4" s="196" t="s">
        <v>232</v>
      </c>
      <c r="G4" s="197" t="s">
        <v>233</v>
      </c>
      <c r="H4" s="197" t="s">
        <v>234</v>
      </c>
      <c r="I4" s="198"/>
      <c r="J4" s="195"/>
      <c r="K4" s="195"/>
      <c r="L4" s="195"/>
      <c r="M4" s="199"/>
      <c r="N4" s="195"/>
      <c r="O4" s="200">
        <v>5331</v>
      </c>
    </row>
    <row r="5" spans="1:15" s="179" customFormat="1" ht="12" customHeight="1">
      <c r="A5" s="234" t="s">
        <v>334</v>
      </c>
      <c r="B5" s="235" t="s">
        <v>335</v>
      </c>
      <c r="C5" s="264">
        <f>120.094+124.145+83.289+120.897+120.421</f>
        <v>568.846</v>
      </c>
      <c r="D5" s="362">
        <f>3399.603+3246.985+587.173+3408.111+1862.633</f>
        <v>12504.505</v>
      </c>
      <c r="E5" s="216">
        <f aca="true" t="shared" si="0" ref="E5:E10">SUM(C5:D5)</f>
        <v>13073.350999999999</v>
      </c>
      <c r="F5" s="363">
        <f>1203.765+1178.022+135.021+1231.087+651.921</f>
        <v>4399.816000000001</v>
      </c>
      <c r="G5" s="264">
        <f>2.409+2.481+3.306+2.417+2.407</f>
        <v>13.02</v>
      </c>
      <c r="H5" s="264">
        <f>223.864+62.055+658.041+204.507</f>
        <v>1148.467</v>
      </c>
      <c r="I5" s="362"/>
      <c r="J5" s="216">
        <f aca="true" t="shared" si="1" ref="J5:J10">SUM(H5:I5)</f>
        <v>1148.467</v>
      </c>
      <c r="K5" s="216">
        <f aca="true" t="shared" si="2" ref="K5:K10">SUM(F5,G5,J5)</f>
        <v>5561.303000000002</v>
      </c>
      <c r="L5" s="216">
        <f aca="true" t="shared" si="3" ref="L5:L10">SUM(E5,K5)</f>
        <v>18634.654000000002</v>
      </c>
      <c r="M5" s="209"/>
      <c r="N5" s="216">
        <f aca="true" t="shared" si="4" ref="N5:N10">SUM(L5,M5)</f>
        <v>18634.654000000002</v>
      </c>
      <c r="O5" s="364">
        <v>1.12</v>
      </c>
    </row>
    <row r="6" spans="1:15" s="179" customFormat="1" ht="12.75">
      <c r="A6" s="234" t="s">
        <v>336</v>
      </c>
      <c r="B6" s="235" t="s">
        <v>337</v>
      </c>
      <c r="C6" s="264">
        <f>40.152+41.382+27.763+40.3+40.141</f>
        <v>189.73799999999997</v>
      </c>
      <c r="D6" s="362">
        <f>1133.201+1082.329+195.724+1136.037+620.878</f>
        <v>4168.169</v>
      </c>
      <c r="E6" s="216">
        <f t="shared" si="0"/>
        <v>4357.907</v>
      </c>
      <c r="F6" s="363">
        <f>401.256+392.675+45.007+410.363+217.308</f>
        <v>1466.609</v>
      </c>
      <c r="G6" s="264">
        <f>0.803+0.828+1.102+0.806+0.803</f>
        <v>4.3420000000000005</v>
      </c>
      <c r="H6" s="264">
        <f>74.621+20.685+219.347+68.169</f>
        <v>382.822</v>
      </c>
      <c r="I6" s="362"/>
      <c r="J6" s="216">
        <f t="shared" si="1"/>
        <v>382.822</v>
      </c>
      <c r="K6" s="216">
        <f t="shared" si="2"/>
        <v>1853.7730000000001</v>
      </c>
      <c r="L6" s="216">
        <f t="shared" si="3"/>
        <v>6211.68</v>
      </c>
      <c r="M6" s="209"/>
      <c r="N6" s="216">
        <f t="shared" si="4"/>
        <v>6211.68</v>
      </c>
      <c r="O6" s="364">
        <v>0.38</v>
      </c>
    </row>
    <row r="7" spans="1:15" s="179" customFormat="1" ht="12.75">
      <c r="A7" s="418" t="s">
        <v>338</v>
      </c>
      <c r="B7" s="235" t="s">
        <v>339</v>
      </c>
      <c r="C7" s="264">
        <f>504.411+479.79+472.835+556.672+75</f>
        <v>2088.708</v>
      </c>
      <c r="D7" s="362">
        <f>2342.709+2332.578+2731.861+2779.29+975</f>
        <v>11161.438</v>
      </c>
      <c r="E7" s="216">
        <f t="shared" si="0"/>
        <v>13250.146</v>
      </c>
      <c r="F7" s="363">
        <f>926.897+956.726+970.632+987.008+367.5</f>
        <v>4208.763</v>
      </c>
      <c r="G7" s="264">
        <f>10.088+9.474+9.004+11.141+0.75</f>
        <v>40.456999999999994</v>
      </c>
      <c r="H7" s="264">
        <f>801.771+436.461+681.831+879.632+81.75</f>
        <v>2881.445</v>
      </c>
      <c r="I7" s="362"/>
      <c r="J7" s="216">
        <f t="shared" si="1"/>
        <v>2881.445</v>
      </c>
      <c r="K7" s="216">
        <f t="shared" si="2"/>
        <v>7130.665000000001</v>
      </c>
      <c r="L7" s="216">
        <f t="shared" si="3"/>
        <v>20380.811</v>
      </c>
      <c r="M7" s="209"/>
      <c r="N7" s="216">
        <f t="shared" si="4"/>
        <v>20380.811</v>
      </c>
      <c r="O7" s="364">
        <v>4.5</v>
      </c>
    </row>
    <row r="8" spans="1:15" s="179" customFormat="1" ht="12.75">
      <c r="A8" s="418" t="s">
        <v>340</v>
      </c>
      <c r="B8" s="235" t="s">
        <v>341</v>
      </c>
      <c r="C8" s="264">
        <f>168.137+159.93+157.612+185.558+25</f>
        <v>696.237</v>
      </c>
      <c r="D8" s="362">
        <f>780.904+777.526+910.621+926.43+325</f>
        <v>3720.4809999999998</v>
      </c>
      <c r="E8" s="216">
        <f t="shared" si="0"/>
        <v>4416.718</v>
      </c>
      <c r="F8" s="363">
        <f>308.966+318.909+323.544+329.003+122.5</f>
        <v>1402.922</v>
      </c>
      <c r="G8" s="264">
        <f>3.363+3.159+3.002+3.714+0.25</f>
        <v>13.488000000000001</v>
      </c>
      <c r="H8" s="264">
        <f>267.258+145.488+227.278+293.211+27.25</f>
        <v>960.485</v>
      </c>
      <c r="I8" s="362"/>
      <c r="J8" s="216">
        <f t="shared" si="1"/>
        <v>960.485</v>
      </c>
      <c r="K8" s="216">
        <f t="shared" si="2"/>
        <v>2376.895</v>
      </c>
      <c r="L8" s="216">
        <f t="shared" si="3"/>
        <v>6793.612999999999</v>
      </c>
      <c r="M8" s="209"/>
      <c r="N8" s="216">
        <f t="shared" si="4"/>
        <v>6793.612999999999</v>
      </c>
      <c r="O8" s="364">
        <v>1.5</v>
      </c>
    </row>
    <row r="9" spans="1:15" s="179" customFormat="1" ht="12.75">
      <c r="A9" s="234" t="s">
        <v>342</v>
      </c>
      <c r="B9" s="235" t="s">
        <v>343</v>
      </c>
      <c r="C9" s="264">
        <f>82.15+136.842+97.59</f>
        <v>316.582</v>
      </c>
      <c r="D9" s="362">
        <f>535.404+610.725+1164.987</f>
        <v>2311.116</v>
      </c>
      <c r="E9" s="216">
        <f t="shared" si="0"/>
        <v>2627.698</v>
      </c>
      <c r="F9" s="363">
        <f>89.239+241.58+400.383</f>
        <v>731.202</v>
      </c>
      <c r="G9" s="264"/>
      <c r="H9" s="264">
        <f>352.788+356.403+754.755</f>
        <v>1463.946</v>
      </c>
      <c r="I9" s="362"/>
      <c r="J9" s="216">
        <f t="shared" si="1"/>
        <v>1463.946</v>
      </c>
      <c r="K9" s="216">
        <f t="shared" si="2"/>
        <v>2195.148</v>
      </c>
      <c r="L9" s="216">
        <f t="shared" si="3"/>
        <v>4822.846</v>
      </c>
      <c r="M9" s="209"/>
      <c r="N9" s="216">
        <f t="shared" si="4"/>
        <v>4822.846</v>
      </c>
      <c r="O9" s="364">
        <v>1.12</v>
      </c>
    </row>
    <row r="10" spans="1:15" s="179" customFormat="1" ht="12" customHeight="1" thickBot="1">
      <c r="A10" s="234" t="s">
        <v>344</v>
      </c>
      <c r="B10" s="235" t="s">
        <v>345</v>
      </c>
      <c r="C10" s="264">
        <f>27.384+45.615+32.531</f>
        <v>105.53</v>
      </c>
      <c r="D10" s="362">
        <f>178.468+203.575+388.33</f>
        <v>770.373</v>
      </c>
      <c r="E10" s="216">
        <f t="shared" si="0"/>
        <v>875.903</v>
      </c>
      <c r="F10" s="363">
        <f>29.747+80.527+133.462</f>
        <v>243.736</v>
      </c>
      <c r="G10" s="264"/>
      <c r="H10" s="264">
        <f>117.596+118.801+251.585</f>
        <v>487.98199999999997</v>
      </c>
      <c r="I10" s="362"/>
      <c r="J10" s="216">
        <f t="shared" si="1"/>
        <v>487.98199999999997</v>
      </c>
      <c r="K10" s="216">
        <f t="shared" si="2"/>
        <v>731.718</v>
      </c>
      <c r="L10" s="216">
        <f t="shared" si="3"/>
        <v>1607.621</v>
      </c>
      <c r="M10" s="209"/>
      <c r="N10" s="216">
        <f t="shared" si="4"/>
        <v>1607.621</v>
      </c>
      <c r="O10" s="364">
        <v>0.38</v>
      </c>
    </row>
    <row r="11" spans="1:16" s="112" customFormat="1" ht="14.25" customHeight="1" thickBot="1">
      <c r="A11" s="365"/>
      <c r="B11" s="366" t="s">
        <v>462</v>
      </c>
      <c r="C11" s="367">
        <f aca="true" t="shared" si="5" ref="C11:O11">SUM(C5:C10)</f>
        <v>3965.641</v>
      </c>
      <c r="D11" s="367">
        <f t="shared" si="5"/>
        <v>34636.082</v>
      </c>
      <c r="E11" s="367">
        <f t="shared" si="5"/>
        <v>38601.72299999999</v>
      </c>
      <c r="F11" s="367">
        <f t="shared" si="5"/>
        <v>12453.048000000003</v>
      </c>
      <c r="G11" s="367">
        <f t="shared" si="5"/>
        <v>71.307</v>
      </c>
      <c r="H11" s="367">
        <f t="shared" si="5"/>
        <v>7325.147</v>
      </c>
      <c r="I11" s="367">
        <f t="shared" si="5"/>
        <v>0</v>
      </c>
      <c r="J11" s="367">
        <f t="shared" si="5"/>
        <v>7325.147</v>
      </c>
      <c r="K11" s="367">
        <f t="shared" si="5"/>
        <v>19849.502000000004</v>
      </c>
      <c r="L11" s="367">
        <f t="shared" si="5"/>
        <v>58451.225</v>
      </c>
      <c r="M11" s="367">
        <f t="shared" si="5"/>
        <v>0</v>
      </c>
      <c r="N11" s="367">
        <f t="shared" si="5"/>
        <v>58451.225</v>
      </c>
      <c r="O11" s="368">
        <f t="shared" si="5"/>
        <v>9.000000000000002</v>
      </c>
      <c r="P11"/>
    </row>
    <row r="12" spans="1:15" ht="12" customHeight="1">
      <c r="A12" s="201" t="s">
        <v>354</v>
      </c>
      <c r="B12" s="202" t="s">
        <v>355</v>
      </c>
      <c r="C12" s="203"/>
      <c r="D12" s="203"/>
      <c r="E12" s="205">
        <f>SUM(C12:D12)</f>
        <v>0</v>
      </c>
      <c r="F12" s="203"/>
      <c r="G12" s="203"/>
      <c r="H12" s="203">
        <f>262.5-78.712</f>
        <v>183.788</v>
      </c>
      <c r="I12" s="263"/>
      <c r="J12" s="242">
        <f>SUM(H12:I12)</f>
        <v>183.788</v>
      </c>
      <c r="K12" s="242">
        <f>SUM(F12,G12,J12)</f>
        <v>183.788</v>
      </c>
      <c r="L12" s="209">
        <f>SUM(E12,K12)</f>
        <v>183.788</v>
      </c>
      <c r="M12" s="209"/>
      <c r="N12" s="209">
        <f>SUM(L12,M12)</f>
        <v>183.788</v>
      </c>
      <c r="O12" s="265"/>
    </row>
    <row r="13" spans="1:15" ht="13.5" thickBot="1">
      <c r="A13" s="212" t="s">
        <v>356</v>
      </c>
      <c r="B13" s="213" t="s">
        <v>463</v>
      </c>
      <c r="C13" s="369"/>
      <c r="D13" s="369"/>
      <c r="E13" s="370">
        <f>SUM(C13:D13)</f>
        <v>0</v>
      </c>
      <c r="F13" s="369"/>
      <c r="G13" s="369"/>
      <c r="H13" s="369">
        <f>87.5-26.237</f>
        <v>61.263000000000005</v>
      </c>
      <c r="I13" s="371"/>
      <c r="J13" s="370">
        <f>SUM(H13:I13)</f>
        <v>61.263000000000005</v>
      </c>
      <c r="K13" s="370">
        <f>SUM(F13,G13,J13)</f>
        <v>61.263000000000005</v>
      </c>
      <c r="L13" s="372">
        <f>SUM(E13,K13)</f>
        <v>61.263000000000005</v>
      </c>
      <c r="M13" s="372"/>
      <c r="N13" s="372">
        <f>SUM(L13,M13)</f>
        <v>61.263000000000005</v>
      </c>
      <c r="O13" s="373"/>
    </row>
    <row r="14" spans="1:15" ht="14.25" customHeight="1" thickBot="1">
      <c r="A14" s="365"/>
      <c r="B14" s="366" t="s">
        <v>464</v>
      </c>
      <c r="C14" s="374">
        <f aca="true" t="shared" si="6" ref="C14:O14">SUM(C12:C13)</f>
        <v>0</v>
      </c>
      <c r="D14" s="375">
        <f t="shared" si="6"/>
        <v>0</v>
      </c>
      <c r="E14" s="376">
        <f t="shared" si="6"/>
        <v>0</v>
      </c>
      <c r="F14" s="375">
        <f t="shared" si="6"/>
        <v>0</v>
      </c>
      <c r="G14" s="375">
        <f t="shared" si="6"/>
        <v>0</v>
      </c>
      <c r="H14" s="375">
        <f t="shared" si="6"/>
        <v>245.05100000000002</v>
      </c>
      <c r="I14" s="377">
        <f t="shared" si="6"/>
        <v>0</v>
      </c>
      <c r="J14" s="376">
        <f t="shared" si="6"/>
        <v>245.05100000000002</v>
      </c>
      <c r="K14" s="376">
        <f t="shared" si="6"/>
        <v>245.05100000000002</v>
      </c>
      <c r="L14" s="376">
        <f t="shared" si="6"/>
        <v>245.05100000000002</v>
      </c>
      <c r="M14" s="376">
        <f t="shared" si="6"/>
        <v>0</v>
      </c>
      <c r="N14" s="376">
        <f t="shared" si="6"/>
        <v>245.05100000000002</v>
      </c>
      <c r="O14" s="378">
        <f t="shared" si="6"/>
        <v>0</v>
      </c>
    </row>
    <row r="15" spans="1:15" ht="12.75">
      <c r="A15" s="234" t="s">
        <v>383</v>
      </c>
      <c r="B15" s="235" t="s">
        <v>384</v>
      </c>
      <c r="C15" s="264"/>
      <c r="D15" s="362"/>
      <c r="E15" s="209">
        <f>SUM(C15:D15)</f>
        <v>0</v>
      </c>
      <c r="F15" s="363"/>
      <c r="G15" s="264"/>
      <c r="H15" s="264"/>
      <c r="I15" s="219"/>
      <c r="J15" s="205">
        <f>SUM(H15:I15)</f>
        <v>0</v>
      </c>
      <c r="K15" s="205">
        <f>SUM(F15,G15,J15)</f>
        <v>0</v>
      </c>
      <c r="L15" s="209">
        <f>SUM(E15,K15)</f>
        <v>0</v>
      </c>
      <c r="M15" s="209"/>
      <c r="N15" s="209">
        <f>SUM(L15,M15)</f>
        <v>0</v>
      </c>
      <c r="O15" s="211">
        <v>2.78</v>
      </c>
    </row>
    <row r="16" spans="1:15" ht="13.5" thickBot="1">
      <c r="A16" s="201" t="s">
        <v>385</v>
      </c>
      <c r="B16" s="235" t="s">
        <v>386</v>
      </c>
      <c r="C16" s="369">
        <v>0</v>
      </c>
      <c r="D16" s="379"/>
      <c r="E16" s="380">
        <f>SUM(C16:D16)</f>
        <v>0</v>
      </c>
      <c r="F16" s="381"/>
      <c r="G16" s="369"/>
      <c r="H16" s="369"/>
      <c r="I16" s="382"/>
      <c r="J16" s="380">
        <f>SUM(H16:I16)</f>
        <v>0</v>
      </c>
      <c r="K16" s="380">
        <f>SUM(F16,G16,J16)</f>
        <v>0</v>
      </c>
      <c r="L16" s="383">
        <f>SUM(E16,K16)</f>
        <v>0</v>
      </c>
      <c r="M16" s="383"/>
      <c r="N16" s="383">
        <f>SUM(L16,M16)</f>
        <v>0</v>
      </c>
      <c r="O16" s="384">
        <v>0.93</v>
      </c>
    </row>
    <row r="17" spans="1:15" ht="14.25" customHeight="1" thickBot="1">
      <c r="A17" s="365"/>
      <c r="B17" s="366" t="s">
        <v>465</v>
      </c>
      <c r="C17" s="374">
        <f aca="true" t="shared" si="7" ref="C17:O17">SUM(C15:C16)</f>
        <v>0</v>
      </c>
      <c r="D17" s="377">
        <f t="shared" si="7"/>
        <v>0</v>
      </c>
      <c r="E17" s="376">
        <f t="shared" si="7"/>
        <v>0</v>
      </c>
      <c r="F17" s="385">
        <f t="shared" si="7"/>
        <v>0</v>
      </c>
      <c r="G17" s="375">
        <f t="shared" si="7"/>
        <v>0</v>
      </c>
      <c r="H17" s="375">
        <f t="shared" si="7"/>
        <v>0</v>
      </c>
      <c r="I17" s="377">
        <f t="shared" si="7"/>
        <v>0</v>
      </c>
      <c r="J17" s="376">
        <f t="shared" si="7"/>
        <v>0</v>
      </c>
      <c r="K17" s="376">
        <f t="shared" si="7"/>
        <v>0</v>
      </c>
      <c r="L17" s="376">
        <f t="shared" si="7"/>
        <v>0</v>
      </c>
      <c r="M17" s="376">
        <f t="shared" si="7"/>
        <v>0</v>
      </c>
      <c r="N17" s="376">
        <f t="shared" si="7"/>
        <v>0</v>
      </c>
      <c r="O17" s="386">
        <f t="shared" si="7"/>
        <v>3.71</v>
      </c>
    </row>
    <row r="18" spans="1:16" s="179" customFormat="1" ht="12.75">
      <c r="A18" s="234" t="s">
        <v>395</v>
      </c>
      <c r="B18" s="235" t="s">
        <v>396</v>
      </c>
      <c r="C18" s="264">
        <f>407.55+199.781</f>
        <v>607.331</v>
      </c>
      <c r="D18" s="362">
        <f>797.362+881.788</f>
        <v>1679.15</v>
      </c>
      <c r="E18" s="205">
        <f aca="true" t="shared" si="8" ref="E18:E31">SUM(C18:D18)</f>
        <v>2286.481</v>
      </c>
      <c r="F18" s="363">
        <f>311.862+137.457</f>
        <v>449.319</v>
      </c>
      <c r="G18" s="264">
        <f>8.151+3.819</f>
        <v>11.969999999999999</v>
      </c>
      <c r="H18" s="264">
        <f>300+1085.868</f>
        <v>1385.868</v>
      </c>
      <c r="I18" s="219"/>
      <c r="J18" s="205">
        <f aca="true" t="shared" si="9" ref="J18:J31">SUM(H18:I18)</f>
        <v>1385.868</v>
      </c>
      <c r="K18" s="205">
        <f aca="true" t="shared" si="10" ref="K18:K31">SUM(F18,G18,J18)</f>
        <v>1847.157</v>
      </c>
      <c r="L18" s="209">
        <f aca="true" t="shared" si="11" ref="L18:L31">SUM(E18,K18)</f>
        <v>4133.638</v>
      </c>
      <c r="M18" s="209"/>
      <c r="N18" s="209">
        <f aca="true" t="shared" si="12" ref="N18:N31">SUM(L18,M18)</f>
        <v>4133.638</v>
      </c>
      <c r="O18" s="364">
        <v>1.33</v>
      </c>
      <c r="P18"/>
    </row>
    <row r="19" spans="1:15" ht="12.75">
      <c r="A19" s="212" t="s">
        <v>397</v>
      </c>
      <c r="B19" s="213" t="s">
        <v>398</v>
      </c>
      <c r="C19" s="115">
        <f>135.85+66.594</f>
        <v>202.444</v>
      </c>
      <c r="D19" s="214">
        <f>265.788+293.93</f>
        <v>559.7180000000001</v>
      </c>
      <c r="E19" s="208">
        <f t="shared" si="8"/>
        <v>762.162</v>
      </c>
      <c r="F19" s="135">
        <f>103.954+45.819</f>
        <v>149.773</v>
      </c>
      <c r="G19" s="115">
        <f>2.717+1.274</f>
        <v>3.991</v>
      </c>
      <c r="H19" s="115">
        <f>100+361.957</f>
        <v>461.957</v>
      </c>
      <c r="I19" s="215"/>
      <c r="J19" s="208">
        <f t="shared" si="9"/>
        <v>461.957</v>
      </c>
      <c r="K19" s="208">
        <f t="shared" si="10"/>
        <v>615.721</v>
      </c>
      <c r="L19" s="216">
        <f t="shared" si="11"/>
        <v>1377.883</v>
      </c>
      <c r="M19" s="216"/>
      <c r="N19" s="216">
        <f t="shared" si="12"/>
        <v>1377.883</v>
      </c>
      <c r="O19" s="218">
        <v>0.44</v>
      </c>
    </row>
    <row r="20" spans="1:15" ht="12.75">
      <c r="A20" s="212" t="s">
        <v>399</v>
      </c>
      <c r="B20" s="213" t="s">
        <v>400</v>
      </c>
      <c r="C20" s="115"/>
      <c r="D20" s="214">
        <f>554.183</f>
        <v>554.183</v>
      </c>
      <c r="E20" s="208">
        <f t="shared" si="8"/>
        <v>554.183</v>
      </c>
      <c r="F20" s="135"/>
      <c r="G20" s="115"/>
      <c r="H20" s="115"/>
      <c r="I20" s="215"/>
      <c r="J20" s="208">
        <f t="shared" si="9"/>
        <v>0</v>
      </c>
      <c r="K20" s="208">
        <f t="shared" si="10"/>
        <v>0</v>
      </c>
      <c r="L20" s="216">
        <f t="shared" si="11"/>
        <v>554.183</v>
      </c>
      <c r="M20" s="216"/>
      <c r="N20" s="216">
        <f t="shared" si="12"/>
        <v>554.183</v>
      </c>
      <c r="O20" s="218">
        <v>1.16</v>
      </c>
    </row>
    <row r="21" spans="1:15" ht="12.75">
      <c r="A21" s="212" t="s">
        <v>401</v>
      </c>
      <c r="B21" s="213" t="s">
        <v>402</v>
      </c>
      <c r="C21" s="115"/>
      <c r="D21" s="214">
        <f>184.728</f>
        <v>184.728</v>
      </c>
      <c r="E21" s="208">
        <f t="shared" si="8"/>
        <v>184.728</v>
      </c>
      <c r="F21" s="135"/>
      <c r="G21" s="115"/>
      <c r="H21" s="115"/>
      <c r="I21" s="215"/>
      <c r="J21" s="208">
        <f t="shared" si="9"/>
        <v>0</v>
      </c>
      <c r="K21" s="208">
        <f t="shared" si="10"/>
        <v>0</v>
      </c>
      <c r="L21" s="216">
        <f t="shared" si="11"/>
        <v>184.728</v>
      </c>
      <c r="M21" s="216"/>
      <c r="N21" s="216">
        <f t="shared" si="12"/>
        <v>184.728</v>
      </c>
      <c r="O21" s="218">
        <v>0.39</v>
      </c>
    </row>
    <row r="22" spans="1:15" ht="12" customHeight="1">
      <c r="A22" s="212" t="s">
        <v>403</v>
      </c>
      <c r="B22" s="213" t="s">
        <v>404</v>
      </c>
      <c r="C22" s="115">
        <f>405+262.5+317.25+3.581</f>
        <v>988.331</v>
      </c>
      <c r="D22" s="214">
        <f>952.5+390+525+340.659</f>
        <v>2208.159</v>
      </c>
      <c r="E22" s="208">
        <f t="shared" si="8"/>
        <v>3196.4900000000002</v>
      </c>
      <c r="F22" s="135">
        <f>450+112.5+175.5+41.548</f>
        <v>779.548</v>
      </c>
      <c r="G22" s="115">
        <f>8.1+5.25+5.895+0.072</f>
        <v>19.316999999999997</v>
      </c>
      <c r="H22" s="115">
        <f>1327.844+1363.001+1509.372+1067.674</f>
        <v>5267.8910000000005</v>
      </c>
      <c r="I22" s="215"/>
      <c r="J22" s="208">
        <f t="shared" si="9"/>
        <v>5267.8910000000005</v>
      </c>
      <c r="K22" s="208">
        <f t="shared" si="10"/>
        <v>6066.756</v>
      </c>
      <c r="L22" s="216">
        <f t="shared" si="11"/>
        <v>9263.246000000001</v>
      </c>
      <c r="M22" s="216"/>
      <c r="N22" s="216">
        <f t="shared" si="12"/>
        <v>9263.246000000001</v>
      </c>
      <c r="O22" s="239">
        <v>2.65</v>
      </c>
    </row>
    <row r="23" spans="1:15" ht="12.75">
      <c r="A23" s="212" t="s">
        <v>405</v>
      </c>
      <c r="B23" s="213" t="s">
        <v>406</v>
      </c>
      <c r="C23" s="115">
        <f>135+87.5+105.75+1.194</f>
        <v>329.444</v>
      </c>
      <c r="D23" s="214">
        <f>317.5+130+175+113.554</f>
        <v>736.054</v>
      </c>
      <c r="E23" s="208">
        <f t="shared" si="8"/>
        <v>1065.498</v>
      </c>
      <c r="F23" s="135">
        <f>150+37.5+58.5+13.85</f>
        <v>259.85</v>
      </c>
      <c r="G23" s="115">
        <f>2.7+1.75+1.965+0.024</f>
        <v>6.439</v>
      </c>
      <c r="H23" s="115">
        <f>442.615+454.334+503.125+355.892</f>
        <v>1755.9660000000001</v>
      </c>
      <c r="I23" s="215"/>
      <c r="J23" s="208">
        <f t="shared" si="9"/>
        <v>1755.9660000000001</v>
      </c>
      <c r="K23" s="208">
        <f t="shared" si="10"/>
        <v>2022.255</v>
      </c>
      <c r="L23" s="216">
        <f t="shared" si="11"/>
        <v>3087.753</v>
      </c>
      <c r="M23" s="216"/>
      <c r="N23" s="216">
        <f t="shared" si="12"/>
        <v>3087.753</v>
      </c>
      <c r="O23" s="239">
        <v>0.88</v>
      </c>
    </row>
    <row r="24" spans="1:15" ht="12.75">
      <c r="A24" s="212" t="s">
        <v>407</v>
      </c>
      <c r="B24" s="213" t="s">
        <v>408</v>
      </c>
      <c r="C24" s="236">
        <f>600+585</f>
        <v>1185</v>
      </c>
      <c r="D24" s="214">
        <f>2025+1826.25</f>
        <v>3851.25</v>
      </c>
      <c r="E24" s="208">
        <f t="shared" si="8"/>
        <v>5036.25</v>
      </c>
      <c r="F24" s="135">
        <f>262.5+466.144</f>
        <v>728.644</v>
      </c>
      <c r="G24" s="115">
        <f>11.25+14.605</f>
        <v>25.855</v>
      </c>
      <c r="H24" s="115">
        <f>404.466+1953.987</f>
        <v>2358.453</v>
      </c>
      <c r="I24" s="215"/>
      <c r="J24" s="208">
        <f t="shared" si="9"/>
        <v>2358.453</v>
      </c>
      <c r="K24" s="208">
        <f t="shared" si="10"/>
        <v>3112.952</v>
      </c>
      <c r="L24" s="216">
        <f t="shared" si="11"/>
        <v>8149.202</v>
      </c>
      <c r="M24" s="216"/>
      <c r="N24" s="216">
        <f t="shared" si="12"/>
        <v>8149.202</v>
      </c>
      <c r="O24" s="239">
        <v>4.5</v>
      </c>
    </row>
    <row r="25" spans="1:15" ht="12.75">
      <c r="A25" s="212" t="s">
        <v>409</v>
      </c>
      <c r="B25" s="213" t="s">
        <v>410</v>
      </c>
      <c r="C25" s="236">
        <f>200+195</f>
        <v>395</v>
      </c>
      <c r="D25" s="214">
        <f>675+608.75</f>
        <v>1283.75</v>
      </c>
      <c r="E25" s="208">
        <f t="shared" si="8"/>
        <v>1678.75</v>
      </c>
      <c r="F25" s="135">
        <f>87.5+155.382</f>
        <v>242.882</v>
      </c>
      <c r="G25" s="115">
        <f>3.75+4.869</f>
        <v>8.619</v>
      </c>
      <c r="H25" s="115">
        <f>134.822+651.329</f>
        <v>786.151</v>
      </c>
      <c r="I25" s="215"/>
      <c r="J25" s="208">
        <f t="shared" si="9"/>
        <v>786.151</v>
      </c>
      <c r="K25" s="208">
        <f t="shared" si="10"/>
        <v>1037.652</v>
      </c>
      <c r="L25" s="216">
        <f t="shared" si="11"/>
        <v>2716.402</v>
      </c>
      <c r="M25" s="216"/>
      <c r="N25" s="216">
        <f t="shared" si="12"/>
        <v>2716.402</v>
      </c>
      <c r="O25" s="239">
        <v>1.5</v>
      </c>
    </row>
    <row r="26" spans="1:15" ht="12.75">
      <c r="A26" s="212" t="s">
        <v>411</v>
      </c>
      <c r="B26" s="213" t="s">
        <v>412</v>
      </c>
      <c r="C26" s="236">
        <f>367.5</f>
        <v>367.5</v>
      </c>
      <c r="D26" s="214">
        <f>382.5</f>
        <v>382.5</v>
      </c>
      <c r="E26" s="208">
        <f t="shared" si="8"/>
        <v>750</v>
      </c>
      <c r="F26" s="135"/>
      <c r="G26" s="115">
        <f>7.5</f>
        <v>7.5</v>
      </c>
      <c r="H26" s="115">
        <f>40.359</f>
        <v>40.359</v>
      </c>
      <c r="I26" s="215"/>
      <c r="J26" s="208">
        <f t="shared" si="9"/>
        <v>40.359</v>
      </c>
      <c r="K26" s="208">
        <f t="shared" si="10"/>
        <v>47.859</v>
      </c>
      <c r="L26" s="216">
        <f t="shared" si="11"/>
        <v>797.859</v>
      </c>
      <c r="M26" s="216"/>
      <c r="N26" s="216">
        <f t="shared" si="12"/>
        <v>797.859</v>
      </c>
      <c r="O26" s="239">
        <v>2.24</v>
      </c>
    </row>
    <row r="27" spans="1:15" ht="12.75">
      <c r="A27" s="212" t="s">
        <v>413</v>
      </c>
      <c r="B27" s="213" t="s">
        <v>414</v>
      </c>
      <c r="C27" s="236">
        <f>122.5</f>
        <v>122.5</v>
      </c>
      <c r="D27" s="214">
        <f>127.5</f>
        <v>127.5</v>
      </c>
      <c r="E27" s="208">
        <f t="shared" si="8"/>
        <v>250</v>
      </c>
      <c r="F27" s="135"/>
      <c r="G27" s="115">
        <f>2.5</f>
        <v>2.5</v>
      </c>
      <c r="H27" s="115">
        <f>13.453</f>
        <v>13.453</v>
      </c>
      <c r="I27" s="215"/>
      <c r="J27" s="208">
        <f t="shared" si="9"/>
        <v>13.453</v>
      </c>
      <c r="K27" s="208">
        <f t="shared" si="10"/>
        <v>15.953</v>
      </c>
      <c r="L27" s="216">
        <f t="shared" si="11"/>
        <v>265.953</v>
      </c>
      <c r="M27" s="216"/>
      <c r="N27" s="216">
        <f t="shared" si="12"/>
        <v>265.953</v>
      </c>
      <c r="O27" s="218">
        <v>0.75</v>
      </c>
    </row>
    <row r="28" spans="1:15" ht="12.75">
      <c r="A28" s="212" t="s">
        <v>415</v>
      </c>
      <c r="B28" s="213" t="s">
        <v>416</v>
      </c>
      <c r="C28" s="236">
        <f>1200+52.5-7.975</f>
        <v>1244.525</v>
      </c>
      <c r="D28" s="214">
        <f>435+75+926.25+62.897</f>
        <v>1499.147</v>
      </c>
      <c r="E28" s="208">
        <f t="shared" si="8"/>
        <v>2743.672</v>
      </c>
      <c r="F28" s="135">
        <f>424.5+168.75+3.671</f>
        <v>596.921</v>
      </c>
      <c r="G28" s="115">
        <f>24+1.5-0.61</f>
        <v>24.89</v>
      </c>
      <c r="H28" s="115">
        <f>916.5+1050+305.258</f>
        <v>2271.758</v>
      </c>
      <c r="I28" s="215"/>
      <c r="J28" s="208">
        <f t="shared" si="9"/>
        <v>2271.758</v>
      </c>
      <c r="K28" s="208">
        <f t="shared" si="10"/>
        <v>2893.569</v>
      </c>
      <c r="L28" s="216">
        <f t="shared" si="11"/>
        <v>5637.241</v>
      </c>
      <c r="M28" s="216"/>
      <c r="N28" s="216">
        <f t="shared" si="12"/>
        <v>5637.241</v>
      </c>
      <c r="O28" s="218">
        <v>8.31</v>
      </c>
    </row>
    <row r="29" spans="1:15" ht="12.75" customHeight="1">
      <c r="A29" s="212" t="s">
        <v>417</v>
      </c>
      <c r="B29" s="213" t="s">
        <v>418</v>
      </c>
      <c r="C29" s="236">
        <f>400+17.5-2.658</f>
        <v>414.842</v>
      </c>
      <c r="D29" s="214">
        <f>145+25+308.75+20.966</f>
        <v>499.716</v>
      </c>
      <c r="E29" s="208">
        <f t="shared" si="8"/>
        <v>914.558</v>
      </c>
      <c r="F29" s="135">
        <f>141.5+56.25+1.224</f>
        <v>198.974</v>
      </c>
      <c r="G29" s="115">
        <f>8+0.5-0.203</f>
        <v>8.297</v>
      </c>
      <c r="H29" s="115">
        <f>305.5+350+101.753+191.875</f>
        <v>949.128</v>
      </c>
      <c r="I29" s="215"/>
      <c r="J29" s="208">
        <f t="shared" si="9"/>
        <v>949.128</v>
      </c>
      <c r="K29" s="208">
        <f t="shared" si="10"/>
        <v>1156.3990000000001</v>
      </c>
      <c r="L29" s="216">
        <f t="shared" si="11"/>
        <v>2070.9570000000003</v>
      </c>
      <c r="M29" s="216"/>
      <c r="N29" s="216">
        <f t="shared" si="12"/>
        <v>2070.9570000000003</v>
      </c>
      <c r="O29" s="218">
        <v>2.77</v>
      </c>
    </row>
    <row r="30" spans="1:15" ht="12.75">
      <c r="A30" s="212" t="s">
        <v>466</v>
      </c>
      <c r="B30" s="213" t="s">
        <v>467</v>
      </c>
      <c r="C30" s="115">
        <f>20.346</f>
        <v>20.346</v>
      </c>
      <c r="D30" s="214">
        <f>93.781</f>
        <v>93.781</v>
      </c>
      <c r="E30" s="208">
        <f t="shared" si="8"/>
        <v>114.12700000000001</v>
      </c>
      <c r="F30" s="135">
        <f>65.198</f>
        <v>65.198</v>
      </c>
      <c r="G30" s="115">
        <f>0.403</f>
        <v>0.403</v>
      </c>
      <c r="H30" s="115">
        <f>31.698+63.958</f>
        <v>95.656</v>
      </c>
      <c r="I30" s="215"/>
      <c r="J30" s="208">
        <f t="shared" si="9"/>
        <v>95.656</v>
      </c>
      <c r="K30" s="208">
        <f t="shared" si="10"/>
        <v>161.257</v>
      </c>
      <c r="L30" s="216">
        <f t="shared" si="11"/>
        <v>275.384</v>
      </c>
      <c r="M30" s="216"/>
      <c r="N30" s="216">
        <f t="shared" si="12"/>
        <v>275.384</v>
      </c>
      <c r="O30" s="218"/>
    </row>
    <row r="31" spans="1:15" ht="13.5" thickBot="1">
      <c r="A31" s="212" t="s">
        <v>468</v>
      </c>
      <c r="B31" s="213" t="s">
        <v>469</v>
      </c>
      <c r="C31" s="115">
        <f>6.783</f>
        <v>6.783</v>
      </c>
      <c r="D31" s="214">
        <f>31.261</f>
        <v>31.261</v>
      </c>
      <c r="E31" s="208">
        <f t="shared" si="8"/>
        <v>38.044</v>
      </c>
      <c r="F31" s="135">
        <f>21.733</f>
        <v>21.733</v>
      </c>
      <c r="G31" s="115">
        <f>0.135</f>
        <v>0.135</v>
      </c>
      <c r="H31" s="115">
        <f>10.567</f>
        <v>10.567</v>
      </c>
      <c r="I31" s="215"/>
      <c r="J31" s="208">
        <f t="shared" si="9"/>
        <v>10.567</v>
      </c>
      <c r="K31" s="208">
        <f t="shared" si="10"/>
        <v>32.435</v>
      </c>
      <c r="L31" s="216">
        <f t="shared" si="11"/>
        <v>70.479</v>
      </c>
      <c r="M31" s="216"/>
      <c r="N31" s="216">
        <f t="shared" si="12"/>
        <v>70.479</v>
      </c>
      <c r="O31" s="218"/>
    </row>
    <row r="32" spans="1:16" s="112" customFormat="1" ht="14.25" customHeight="1" thickBot="1">
      <c r="A32" s="365"/>
      <c r="B32" s="366" t="s">
        <v>470</v>
      </c>
      <c r="C32" s="367">
        <f aca="true" t="shared" si="13" ref="C32:O32">SUM(C18:C31)</f>
        <v>5884.046</v>
      </c>
      <c r="D32" s="367">
        <f t="shared" si="13"/>
        <v>13690.897</v>
      </c>
      <c r="E32" s="367">
        <f t="shared" si="13"/>
        <v>19574.943000000003</v>
      </c>
      <c r="F32" s="367">
        <f t="shared" si="13"/>
        <v>3492.842</v>
      </c>
      <c r="G32" s="367">
        <f t="shared" si="13"/>
        <v>119.916</v>
      </c>
      <c r="H32" s="367">
        <f t="shared" si="13"/>
        <v>15397.207</v>
      </c>
      <c r="I32" s="367">
        <f t="shared" si="13"/>
        <v>0</v>
      </c>
      <c r="J32" s="367">
        <f t="shared" si="13"/>
        <v>15397.207</v>
      </c>
      <c r="K32" s="367">
        <f t="shared" si="13"/>
        <v>19009.965000000004</v>
      </c>
      <c r="L32" s="367">
        <f t="shared" si="13"/>
        <v>38584.908</v>
      </c>
      <c r="M32" s="367">
        <f t="shared" si="13"/>
        <v>0</v>
      </c>
      <c r="N32" s="367">
        <f t="shared" si="13"/>
        <v>38584.908</v>
      </c>
      <c r="O32" s="368">
        <f t="shared" si="13"/>
        <v>26.919999999999998</v>
      </c>
      <c r="P32"/>
    </row>
    <row r="33" spans="1:15" ht="12.75">
      <c r="A33" s="234" t="s">
        <v>423</v>
      </c>
      <c r="B33" s="235" t="s">
        <v>424</v>
      </c>
      <c r="C33" s="135">
        <f>112.5+90+238.699+22.887</f>
        <v>464.086</v>
      </c>
      <c r="D33" s="214">
        <f>588.368+1050+525+712.5+909.669</f>
        <v>3785.537</v>
      </c>
      <c r="E33" s="208">
        <f>SUM(C33:D33)</f>
        <v>4249.623</v>
      </c>
      <c r="F33" s="135">
        <f>265.8+416.25+210+225+198.917</f>
        <v>1315.9669999999999</v>
      </c>
      <c r="G33" s="115">
        <f>2.25+3.75+5.196+0.457</f>
        <v>11.653</v>
      </c>
      <c r="H33" s="115">
        <f>139.588+376.304+127.35+86.469</f>
        <v>729.711</v>
      </c>
      <c r="I33" s="215"/>
      <c r="J33" s="208">
        <f>SUM(H33:I33)</f>
        <v>729.711</v>
      </c>
      <c r="K33" s="208">
        <f>SUM(F33,G33,J33)</f>
        <v>2057.331</v>
      </c>
      <c r="L33" s="216">
        <f>SUM(E33,K33)</f>
        <v>6306.954</v>
      </c>
      <c r="M33" s="216"/>
      <c r="N33" s="216">
        <f>SUM(L33,M33)</f>
        <v>6306.954</v>
      </c>
      <c r="O33" s="218">
        <v>2.25</v>
      </c>
    </row>
    <row r="34" spans="1:15" ht="12.75">
      <c r="A34" s="234" t="s">
        <v>425</v>
      </c>
      <c r="B34" s="235" t="s">
        <v>426</v>
      </c>
      <c r="C34" s="135">
        <f>37.5+30+79.567+7.63</f>
        <v>154.697</v>
      </c>
      <c r="D34" s="214">
        <f>196.121+350+175+237.5+303.224</f>
        <v>1261.845</v>
      </c>
      <c r="E34" s="208">
        <f>SUM(C34:D34)</f>
        <v>1416.542</v>
      </c>
      <c r="F34" s="135">
        <f>88.6+138.75+70+75+66.306</f>
        <v>438.656</v>
      </c>
      <c r="G34" s="115">
        <f>0.75+1.25+1.733+0.153</f>
        <v>3.886</v>
      </c>
      <c r="H34" s="115">
        <f>46.53+125.435+42.45+28.824</f>
        <v>243.23900000000003</v>
      </c>
      <c r="I34" s="215"/>
      <c r="J34" s="208">
        <f>SUM(H34:I34)</f>
        <v>243.23900000000003</v>
      </c>
      <c r="K34" s="208">
        <f>SUM(F34,G34,J34)</f>
        <v>685.7810000000001</v>
      </c>
      <c r="L34" s="216">
        <f>SUM(E34,K34)</f>
        <v>2102.323</v>
      </c>
      <c r="M34" s="216"/>
      <c r="N34" s="216">
        <f>SUM(L34,M34)</f>
        <v>2102.323</v>
      </c>
      <c r="O34" s="218">
        <v>0.75</v>
      </c>
    </row>
    <row r="35" spans="1:15" ht="12.75">
      <c r="A35" s="234" t="s">
        <v>427</v>
      </c>
      <c r="B35" s="235" t="s">
        <v>428</v>
      </c>
      <c r="C35" s="135">
        <f>390+135+262.5+45.33</f>
        <v>832.83</v>
      </c>
      <c r="D35" s="214">
        <f>675+975+495.369+176.257</f>
        <v>2321.626</v>
      </c>
      <c r="E35" s="208">
        <f>SUM(C35:D35)</f>
        <v>3154.456</v>
      </c>
      <c r="F35" s="135">
        <f>372.45+337.5+150+69.219</f>
        <v>929.1690000000001</v>
      </c>
      <c r="G35" s="115">
        <f>7.8+3+6.75</f>
        <v>17.55</v>
      </c>
      <c r="H35" s="115">
        <f>12.091+953.106+627.75+579.471</f>
        <v>2172.418</v>
      </c>
      <c r="I35" s="215"/>
      <c r="J35" s="208">
        <f>SUM(H35:I35)</f>
        <v>2172.418</v>
      </c>
      <c r="K35" s="208">
        <f>SUM(F35,G35,J35)</f>
        <v>3119.137</v>
      </c>
      <c r="L35" s="216">
        <f>SUM(E35,K35)</f>
        <v>6273.593000000001</v>
      </c>
      <c r="M35" s="216"/>
      <c r="N35" s="216">
        <f>SUM(L35,M35)</f>
        <v>6273.593000000001</v>
      </c>
      <c r="O35" s="218">
        <v>2.81</v>
      </c>
    </row>
    <row r="36" spans="1:15" ht="13.5" thickBot="1">
      <c r="A36" s="234" t="s">
        <v>429</v>
      </c>
      <c r="B36" s="235" t="s">
        <v>430</v>
      </c>
      <c r="C36" s="381">
        <f>130+45+87.5+15.11</f>
        <v>277.61</v>
      </c>
      <c r="D36" s="379">
        <f>225+325+165.123+58.753</f>
        <v>773.8760000000001</v>
      </c>
      <c r="E36" s="380">
        <f>SUM(C36:D36)</f>
        <v>1051.486</v>
      </c>
      <c r="F36" s="381">
        <f>124.15+112.5+50+23.074</f>
        <v>309.724</v>
      </c>
      <c r="G36" s="369">
        <f>2.6+1+2.25</f>
        <v>5.85</v>
      </c>
      <c r="H36" s="369">
        <f>4.031+317.703+209.25+193.157</f>
        <v>724.141</v>
      </c>
      <c r="I36" s="382"/>
      <c r="J36" s="380">
        <f>SUM(H36:I36)</f>
        <v>724.141</v>
      </c>
      <c r="K36" s="380">
        <f>SUM(F36,G36,J36)</f>
        <v>1039.715</v>
      </c>
      <c r="L36" s="383">
        <f>SUM(E36,K36)</f>
        <v>2091.201</v>
      </c>
      <c r="M36" s="383"/>
      <c r="N36" s="383">
        <f>SUM(L36,M36)</f>
        <v>2091.201</v>
      </c>
      <c r="O36" s="384">
        <v>0.94</v>
      </c>
    </row>
    <row r="37" spans="1:16" s="179" customFormat="1" ht="14.25" customHeight="1" thickBot="1">
      <c r="A37" s="365"/>
      <c r="B37" s="366" t="s">
        <v>471</v>
      </c>
      <c r="C37" s="374">
        <f aca="true" t="shared" si="14" ref="C37:O37">SUM(C33:C36)</f>
        <v>1729.223</v>
      </c>
      <c r="D37" s="377">
        <f t="shared" si="14"/>
        <v>8142.884</v>
      </c>
      <c r="E37" s="376">
        <f t="shared" si="14"/>
        <v>9872.107</v>
      </c>
      <c r="F37" s="385">
        <f t="shared" si="14"/>
        <v>2993.516</v>
      </c>
      <c r="G37" s="375">
        <f t="shared" si="14"/>
        <v>38.939</v>
      </c>
      <c r="H37" s="375">
        <f t="shared" si="14"/>
        <v>3869.5090000000005</v>
      </c>
      <c r="I37" s="375">
        <f t="shared" si="14"/>
        <v>0</v>
      </c>
      <c r="J37" s="376">
        <f t="shared" si="14"/>
        <v>3869.5090000000005</v>
      </c>
      <c r="K37" s="376">
        <f t="shared" si="14"/>
        <v>6901.964</v>
      </c>
      <c r="L37" s="376">
        <f t="shared" si="14"/>
        <v>16774.071</v>
      </c>
      <c r="M37" s="376">
        <f t="shared" si="14"/>
        <v>0</v>
      </c>
      <c r="N37" s="376">
        <f t="shared" si="14"/>
        <v>16774.071</v>
      </c>
      <c r="O37" s="386">
        <f t="shared" si="14"/>
        <v>6.75</v>
      </c>
      <c r="P37"/>
    </row>
    <row r="38" spans="1:15" ht="12.75">
      <c r="A38" s="234" t="s">
        <v>472</v>
      </c>
      <c r="B38" s="202" t="s">
        <v>473</v>
      </c>
      <c r="C38" s="203"/>
      <c r="D38" s="204"/>
      <c r="E38" s="205">
        <f>SUM(C38:D38)</f>
        <v>0</v>
      </c>
      <c r="F38" s="206"/>
      <c r="G38" s="203"/>
      <c r="H38" s="203">
        <f>152.625+172.5-105.668</f>
        <v>219.457</v>
      </c>
      <c r="I38" s="203"/>
      <c r="J38" s="205">
        <f>SUM(H38:I38)</f>
        <v>219.457</v>
      </c>
      <c r="K38" s="205">
        <f>SUM(F38,G38,J38)</f>
        <v>219.457</v>
      </c>
      <c r="L38" s="209">
        <f>SUM(E38,K38)</f>
        <v>219.457</v>
      </c>
      <c r="M38" s="209"/>
      <c r="N38" s="209">
        <f>SUM(L38,M38)</f>
        <v>219.457</v>
      </c>
      <c r="O38" s="211"/>
    </row>
    <row r="39" spans="1:15" ht="12.75">
      <c r="A39" s="234" t="s">
        <v>474</v>
      </c>
      <c r="B39" s="202" t="s">
        <v>475</v>
      </c>
      <c r="C39" s="203"/>
      <c r="D39" s="204"/>
      <c r="E39" s="208">
        <f>SUM(C39:D39)</f>
        <v>0</v>
      </c>
      <c r="F39" s="206"/>
      <c r="G39" s="203"/>
      <c r="H39" s="203">
        <f>50.875+57.5-35.222</f>
        <v>73.15299999999999</v>
      </c>
      <c r="I39" s="203"/>
      <c r="J39" s="208">
        <f>SUM(H39:I39)</f>
        <v>73.15299999999999</v>
      </c>
      <c r="K39" s="208">
        <f>SUM(F39,G39,J39)</f>
        <v>73.15299999999999</v>
      </c>
      <c r="L39" s="216">
        <f>SUM(E39,K39)</f>
        <v>73.15299999999999</v>
      </c>
      <c r="M39" s="216"/>
      <c r="N39" s="216">
        <f>SUM(L39,M39)</f>
        <v>73.15299999999999</v>
      </c>
      <c r="O39" s="211"/>
    </row>
    <row r="40" spans="1:15" ht="12" customHeight="1">
      <c r="A40" s="201" t="s">
        <v>437</v>
      </c>
      <c r="B40" s="202" t="s">
        <v>438</v>
      </c>
      <c r="C40" s="203"/>
      <c r="D40" s="204">
        <f>85+114.75</f>
        <v>199.75</v>
      </c>
      <c r="E40" s="205">
        <f>SUM(C40:D40)</f>
        <v>199.75</v>
      </c>
      <c r="F40" s="206">
        <f>13.387</f>
        <v>13.387</v>
      </c>
      <c r="G40" s="203"/>
      <c r="H40" s="203">
        <f>552.5+637.123</f>
        <v>1189.623</v>
      </c>
      <c r="I40" s="203"/>
      <c r="J40" s="205">
        <f>SUM(H40:I40)</f>
        <v>1189.623</v>
      </c>
      <c r="K40" s="205">
        <f>SUM(F40,G40,J40)</f>
        <v>1203.01</v>
      </c>
      <c r="L40" s="209">
        <f>SUM(E40,K40)</f>
        <v>1402.76</v>
      </c>
      <c r="M40" s="209"/>
      <c r="N40" s="209">
        <f>SUM(L40,M40)</f>
        <v>1402.76</v>
      </c>
      <c r="O40" s="211"/>
    </row>
    <row r="41" spans="1:15" ht="12" customHeight="1" thickBot="1">
      <c r="A41" s="201" t="s">
        <v>439</v>
      </c>
      <c r="B41" s="202" t="s">
        <v>440</v>
      </c>
      <c r="C41" s="387"/>
      <c r="D41" s="388">
        <f>15+20.25</f>
        <v>35.25</v>
      </c>
      <c r="E41" s="380">
        <f>SUM(C41:D41)</f>
        <v>35.25</v>
      </c>
      <c r="F41" s="389">
        <f>2.362</f>
        <v>2.362</v>
      </c>
      <c r="G41" s="387"/>
      <c r="H41" s="387">
        <f>97.5+112.433</f>
        <v>209.933</v>
      </c>
      <c r="I41" s="387"/>
      <c r="J41" s="380">
        <f>SUM(H41:I41)</f>
        <v>209.933</v>
      </c>
      <c r="K41" s="380">
        <f>SUM(F41,G41,J41)</f>
        <v>212.295</v>
      </c>
      <c r="L41" s="383">
        <f>SUM(E41,K41)</f>
        <v>247.545</v>
      </c>
      <c r="M41" s="383"/>
      <c r="N41" s="383">
        <f>SUM(L41,M41)</f>
        <v>247.545</v>
      </c>
      <c r="O41" s="390"/>
    </row>
    <row r="42" spans="1:16" s="179" customFormat="1" ht="14.25" customHeight="1" thickBot="1">
      <c r="A42" s="365"/>
      <c r="B42" s="366" t="s">
        <v>476</v>
      </c>
      <c r="C42" s="374">
        <f aca="true" t="shared" si="15" ref="C42:O42">SUM(C38:C41)</f>
        <v>0</v>
      </c>
      <c r="D42" s="377">
        <f t="shared" si="15"/>
        <v>235</v>
      </c>
      <c r="E42" s="376">
        <f t="shared" si="15"/>
        <v>235</v>
      </c>
      <c r="F42" s="385">
        <f t="shared" si="15"/>
        <v>15.749</v>
      </c>
      <c r="G42" s="375">
        <f t="shared" si="15"/>
        <v>0</v>
      </c>
      <c r="H42" s="375">
        <f t="shared" si="15"/>
        <v>1692.1660000000002</v>
      </c>
      <c r="I42" s="375">
        <f t="shared" si="15"/>
        <v>0</v>
      </c>
      <c r="J42" s="376">
        <f t="shared" si="15"/>
        <v>1692.1660000000002</v>
      </c>
      <c r="K42" s="376">
        <f t="shared" si="15"/>
        <v>1707.915</v>
      </c>
      <c r="L42" s="376">
        <f t="shared" si="15"/>
        <v>1942.915</v>
      </c>
      <c r="M42" s="376">
        <f t="shared" si="15"/>
        <v>0</v>
      </c>
      <c r="N42" s="376">
        <f t="shared" si="15"/>
        <v>1942.915</v>
      </c>
      <c r="O42" s="386">
        <f t="shared" si="15"/>
        <v>0</v>
      </c>
      <c r="P42"/>
    </row>
    <row r="43" spans="1:16" s="179" customFormat="1" ht="12.75">
      <c r="A43" s="234" t="s">
        <v>447</v>
      </c>
      <c r="B43" s="235" t="s">
        <v>448</v>
      </c>
      <c r="C43" s="264">
        <f>425.022+151.591+654.779</f>
        <v>1231.392</v>
      </c>
      <c r="D43" s="362">
        <f>586.982+224.362+1291.172</f>
        <v>2102.516</v>
      </c>
      <c r="E43" s="205">
        <f>SUM(C43:D43)</f>
        <v>3333.9080000000004</v>
      </c>
      <c r="F43" s="363">
        <f>199.66+94.609+383.742</f>
        <v>678.011</v>
      </c>
      <c r="G43" s="264">
        <f>7.476+3.032+13.103</f>
        <v>23.610999999999997</v>
      </c>
      <c r="H43" s="264">
        <f>1611.501+588.018+1240.537+375</f>
        <v>3815.0560000000005</v>
      </c>
      <c r="I43" s="264"/>
      <c r="J43" s="205">
        <f>SUM(H43:I43)</f>
        <v>3815.0560000000005</v>
      </c>
      <c r="K43" s="205">
        <f>SUM(F43,G43,J43)</f>
        <v>4516.678000000001</v>
      </c>
      <c r="L43" s="209">
        <f>SUM(E43,K43)</f>
        <v>7850.586000000001</v>
      </c>
      <c r="M43" s="209"/>
      <c r="N43" s="209">
        <f>SUM(L43,M43)</f>
        <v>7850.586000000001</v>
      </c>
      <c r="O43" s="364">
        <v>6.41</v>
      </c>
      <c r="P43"/>
    </row>
    <row r="44" spans="1:16" s="179" customFormat="1" ht="12" customHeight="1" thickBot="1">
      <c r="A44" s="234" t="s">
        <v>449</v>
      </c>
      <c r="B44" s="235" t="s">
        <v>450</v>
      </c>
      <c r="C44" s="391">
        <f>141.675+50.531+218.26</f>
        <v>410.466</v>
      </c>
      <c r="D44" s="392">
        <f>195.661+74.788+430.391</f>
        <v>700.84</v>
      </c>
      <c r="E44" s="380">
        <f>SUM(C44:D44)</f>
        <v>1111.306</v>
      </c>
      <c r="F44" s="381">
        <f>66.554+31.537+127.914</f>
        <v>226.005</v>
      </c>
      <c r="G44" s="369">
        <f>2.491+1.01+4.368</f>
        <v>7.869000000000001</v>
      </c>
      <c r="H44" s="369">
        <f>537.166+196.005+413.513+125</f>
        <v>1271.684</v>
      </c>
      <c r="I44" s="369"/>
      <c r="J44" s="380">
        <f>SUM(H44:I44)</f>
        <v>1271.684</v>
      </c>
      <c r="K44" s="380">
        <f>SUM(F44,G44,J44)</f>
        <v>1505.558</v>
      </c>
      <c r="L44" s="383">
        <f>SUM(E44,K44)</f>
        <v>2616.864</v>
      </c>
      <c r="M44" s="383"/>
      <c r="N44" s="383">
        <f>SUM(L44,M44)</f>
        <v>2616.864</v>
      </c>
      <c r="O44" s="393">
        <v>2.14</v>
      </c>
      <c r="P44"/>
    </row>
    <row r="45" spans="1:15" ht="14.25" customHeight="1" thickBot="1">
      <c r="A45" s="365"/>
      <c r="B45" s="366" t="s">
        <v>477</v>
      </c>
      <c r="C45" s="374">
        <f aca="true" t="shared" si="16" ref="C45:O45">SUM(C43:C44)</f>
        <v>1641.8580000000002</v>
      </c>
      <c r="D45" s="377">
        <f t="shared" si="16"/>
        <v>2803.356</v>
      </c>
      <c r="E45" s="376">
        <f t="shared" si="16"/>
        <v>4445.214</v>
      </c>
      <c r="F45" s="385">
        <f t="shared" si="16"/>
        <v>904.016</v>
      </c>
      <c r="G45" s="375">
        <f t="shared" si="16"/>
        <v>31.479999999999997</v>
      </c>
      <c r="H45" s="375">
        <f t="shared" si="16"/>
        <v>5086.740000000001</v>
      </c>
      <c r="I45" s="377">
        <f t="shared" si="16"/>
        <v>0</v>
      </c>
      <c r="J45" s="376">
        <f t="shared" si="16"/>
        <v>5086.740000000001</v>
      </c>
      <c r="K45" s="376">
        <f t="shared" si="16"/>
        <v>6022.236000000001</v>
      </c>
      <c r="L45" s="376">
        <f t="shared" si="16"/>
        <v>10467.45</v>
      </c>
      <c r="M45" s="376">
        <f t="shared" si="16"/>
        <v>0</v>
      </c>
      <c r="N45" s="376">
        <f t="shared" si="16"/>
        <v>10467.45</v>
      </c>
      <c r="O45" s="386">
        <f t="shared" si="16"/>
        <v>8.55</v>
      </c>
    </row>
    <row r="46" spans="1:15" ht="14.25" customHeight="1">
      <c r="A46" s="340" t="s">
        <v>478</v>
      </c>
      <c r="B46" s="341" t="s">
        <v>479</v>
      </c>
      <c r="C46" s="240"/>
      <c r="D46" s="241"/>
      <c r="E46" s="242">
        <f aca="true" t="shared" si="17" ref="E46:E51">SUM(C46:D46)</f>
        <v>0</v>
      </c>
      <c r="F46" s="243"/>
      <c r="G46" s="240"/>
      <c r="H46" s="240">
        <v>39.217</v>
      </c>
      <c r="I46" s="240"/>
      <c r="J46" s="242">
        <f aca="true" t="shared" si="18" ref="J46:J51">SUM(H46:I46)</f>
        <v>39.217</v>
      </c>
      <c r="K46" s="242">
        <f aca="true" t="shared" si="19" ref="K46:K51">SUM(F46,G46,J46)</f>
        <v>39.217</v>
      </c>
      <c r="L46" s="244">
        <f aca="true" t="shared" si="20" ref="L46:L51">SUM(E46,K46)</f>
        <v>39.217</v>
      </c>
      <c r="M46" s="244"/>
      <c r="N46" s="244">
        <f aca="true" t="shared" si="21" ref="N46:N51">SUM(L46,M46)</f>
        <v>39.217</v>
      </c>
      <c r="O46" s="245"/>
    </row>
    <row r="47" spans="1:15" ht="14.25" customHeight="1">
      <c r="A47" s="212" t="s">
        <v>480</v>
      </c>
      <c r="B47" s="202" t="s">
        <v>481</v>
      </c>
      <c r="C47" s="115"/>
      <c r="D47" s="214"/>
      <c r="E47" s="208">
        <f t="shared" si="17"/>
        <v>0</v>
      </c>
      <c r="F47" s="135"/>
      <c r="G47" s="115"/>
      <c r="H47" s="115">
        <v>13.073</v>
      </c>
      <c r="I47" s="115"/>
      <c r="J47" s="208">
        <f t="shared" si="18"/>
        <v>13.073</v>
      </c>
      <c r="K47" s="208">
        <f t="shared" si="19"/>
        <v>13.073</v>
      </c>
      <c r="L47" s="216">
        <f t="shared" si="20"/>
        <v>13.073</v>
      </c>
      <c r="M47" s="216"/>
      <c r="N47" s="216">
        <f t="shared" si="21"/>
        <v>13.073</v>
      </c>
      <c r="O47" s="218"/>
    </row>
    <row r="48" spans="1:15" ht="14.25" customHeight="1">
      <c r="A48" s="212" t="s">
        <v>482</v>
      </c>
      <c r="B48" s="213" t="s">
        <v>483</v>
      </c>
      <c r="C48" s="115"/>
      <c r="D48" s="214"/>
      <c r="E48" s="208">
        <f t="shared" si="17"/>
        <v>0</v>
      </c>
      <c r="F48" s="135"/>
      <c r="G48" s="115"/>
      <c r="H48" s="115">
        <v>32.55</v>
      </c>
      <c r="I48" s="115"/>
      <c r="J48" s="208">
        <f t="shared" si="18"/>
        <v>32.55</v>
      </c>
      <c r="K48" s="208">
        <f t="shared" si="19"/>
        <v>32.55</v>
      </c>
      <c r="L48" s="216">
        <f t="shared" si="20"/>
        <v>32.55</v>
      </c>
      <c r="M48" s="216"/>
      <c r="N48" s="216">
        <f t="shared" si="21"/>
        <v>32.55</v>
      </c>
      <c r="O48" s="218"/>
    </row>
    <row r="49" spans="1:15" ht="14.25" customHeight="1">
      <c r="A49" s="212" t="s">
        <v>484</v>
      </c>
      <c r="B49" s="213" t="s">
        <v>485</v>
      </c>
      <c r="C49" s="115"/>
      <c r="D49" s="214"/>
      <c r="E49" s="208">
        <f t="shared" si="17"/>
        <v>0</v>
      </c>
      <c r="F49" s="135"/>
      <c r="G49" s="115"/>
      <c r="H49" s="115">
        <v>10.85</v>
      </c>
      <c r="I49" s="115"/>
      <c r="J49" s="208">
        <f t="shared" si="18"/>
        <v>10.85</v>
      </c>
      <c r="K49" s="208">
        <f t="shared" si="19"/>
        <v>10.85</v>
      </c>
      <c r="L49" s="216">
        <f t="shared" si="20"/>
        <v>10.85</v>
      </c>
      <c r="M49" s="216"/>
      <c r="N49" s="216">
        <f t="shared" si="21"/>
        <v>10.85</v>
      </c>
      <c r="O49" s="218"/>
    </row>
    <row r="50" spans="1:15" ht="14.25" customHeight="1">
      <c r="A50" s="201" t="s">
        <v>456</v>
      </c>
      <c r="B50" s="202" t="s">
        <v>457</v>
      </c>
      <c r="C50" s="203"/>
      <c r="D50" s="204"/>
      <c r="E50" s="205">
        <f t="shared" si="17"/>
        <v>0</v>
      </c>
      <c r="F50" s="206"/>
      <c r="G50" s="203"/>
      <c r="H50" s="203">
        <v>74.069</v>
      </c>
      <c r="I50" s="203"/>
      <c r="J50" s="205">
        <f t="shared" si="18"/>
        <v>74.069</v>
      </c>
      <c r="K50" s="205">
        <f t="shared" si="19"/>
        <v>74.069</v>
      </c>
      <c r="L50" s="209">
        <f t="shared" si="20"/>
        <v>74.069</v>
      </c>
      <c r="M50" s="209"/>
      <c r="N50" s="209">
        <f t="shared" si="21"/>
        <v>74.069</v>
      </c>
      <c r="O50" s="211"/>
    </row>
    <row r="51" spans="1:15" ht="14.25" customHeight="1" thickBot="1">
      <c r="A51" s="212" t="s">
        <v>458</v>
      </c>
      <c r="B51" s="213" t="s">
        <v>459</v>
      </c>
      <c r="C51" s="115"/>
      <c r="D51" s="214"/>
      <c r="E51" s="208">
        <f t="shared" si="17"/>
        <v>0</v>
      </c>
      <c r="F51" s="135"/>
      <c r="G51" s="115"/>
      <c r="H51" s="115">
        <v>13.071</v>
      </c>
      <c r="I51" s="115"/>
      <c r="J51" s="208">
        <f t="shared" si="18"/>
        <v>13.071</v>
      </c>
      <c r="K51" s="208">
        <f t="shared" si="19"/>
        <v>13.071</v>
      </c>
      <c r="L51" s="216">
        <f t="shared" si="20"/>
        <v>13.071</v>
      </c>
      <c r="M51" s="216"/>
      <c r="N51" s="216">
        <f t="shared" si="21"/>
        <v>13.071</v>
      </c>
      <c r="O51" s="218"/>
    </row>
    <row r="52" spans="1:16" s="112" customFormat="1" ht="14.25" customHeight="1" thickBot="1">
      <c r="A52" s="365"/>
      <c r="B52" s="366" t="s">
        <v>486</v>
      </c>
      <c r="C52" s="367">
        <f aca="true" t="shared" si="22" ref="C52:O52">SUM(C46:C51)</f>
        <v>0</v>
      </c>
      <c r="D52" s="367">
        <f t="shared" si="22"/>
        <v>0</v>
      </c>
      <c r="E52" s="367">
        <f t="shared" si="22"/>
        <v>0</v>
      </c>
      <c r="F52" s="367">
        <f t="shared" si="22"/>
        <v>0</v>
      </c>
      <c r="G52" s="367">
        <f t="shared" si="22"/>
        <v>0</v>
      </c>
      <c r="H52" s="367">
        <f t="shared" si="22"/>
        <v>182.83</v>
      </c>
      <c r="I52" s="367">
        <f t="shared" si="22"/>
        <v>0</v>
      </c>
      <c r="J52" s="367">
        <f t="shared" si="22"/>
        <v>182.83</v>
      </c>
      <c r="K52" s="367">
        <f t="shared" si="22"/>
        <v>182.83</v>
      </c>
      <c r="L52" s="367">
        <f t="shared" si="22"/>
        <v>182.83</v>
      </c>
      <c r="M52" s="367">
        <f t="shared" si="22"/>
        <v>0</v>
      </c>
      <c r="N52" s="367">
        <f t="shared" si="22"/>
        <v>182.83</v>
      </c>
      <c r="O52" s="368">
        <f t="shared" si="22"/>
        <v>0</v>
      </c>
      <c r="P52"/>
    </row>
    <row r="53" spans="1:15" ht="17.25" customHeight="1" thickBot="1">
      <c r="A53" s="254"/>
      <c r="B53" s="394" t="s">
        <v>297</v>
      </c>
      <c r="C53" s="256">
        <f aca="true" t="shared" si="23" ref="C53:O53">C11+C14+C17+C32+C37+C42+C45+C52</f>
        <v>13220.768</v>
      </c>
      <c r="D53" s="256">
        <f t="shared" si="23"/>
        <v>59508.219000000005</v>
      </c>
      <c r="E53" s="256">
        <f t="shared" si="23"/>
        <v>72728.987</v>
      </c>
      <c r="F53" s="256">
        <f t="shared" si="23"/>
        <v>19859.171000000002</v>
      </c>
      <c r="G53" s="256">
        <f t="shared" si="23"/>
        <v>261.642</v>
      </c>
      <c r="H53" s="256">
        <f t="shared" si="23"/>
        <v>33798.65</v>
      </c>
      <c r="I53" s="256">
        <f t="shared" si="23"/>
        <v>0</v>
      </c>
      <c r="J53" s="256">
        <f t="shared" si="23"/>
        <v>33798.65</v>
      </c>
      <c r="K53" s="256">
        <f t="shared" si="23"/>
        <v>53919.46300000002</v>
      </c>
      <c r="L53" s="256">
        <f t="shared" si="23"/>
        <v>126648.45</v>
      </c>
      <c r="M53" s="256">
        <f t="shared" si="23"/>
        <v>0</v>
      </c>
      <c r="N53" s="256">
        <f t="shared" si="23"/>
        <v>126648.45</v>
      </c>
      <c r="O53" s="257">
        <f t="shared" si="23"/>
        <v>54.92999999999999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I23"/>
  <sheetViews>
    <sheetView zoomScale="72" zoomScaleNormal="72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H29" sqref="H29"/>
    </sheetView>
  </sheetViews>
  <sheetFormatPr defaultColWidth="9.140625" defaultRowHeight="12.75"/>
  <cols>
    <col min="1" max="1" width="18.140625" style="145" customWidth="1"/>
    <col min="2" max="2" width="12.7109375" style="145" customWidth="1"/>
    <col min="3" max="3" width="11.8515625" style="145" customWidth="1"/>
    <col min="4" max="4" width="12.8515625" style="145" customWidth="1"/>
    <col min="5" max="5" width="10.8515625" style="145" customWidth="1"/>
    <col min="6" max="16384" width="9.140625" style="145" customWidth="1"/>
  </cols>
  <sheetData>
    <row r="2" spans="1:5" ht="15.75">
      <c r="A2" s="146"/>
      <c r="D2" s="180" t="s">
        <v>212</v>
      </c>
      <c r="E2" s="39"/>
    </row>
    <row r="4" ht="15.75">
      <c r="A4" s="148" t="s">
        <v>317</v>
      </c>
    </row>
    <row r="5" ht="15.75">
      <c r="A5" s="148"/>
    </row>
    <row r="6" spans="1:5" ht="16.5" thickBot="1">
      <c r="A6" s="148"/>
      <c r="E6" s="149" t="s">
        <v>1</v>
      </c>
    </row>
    <row r="7" spans="1:5" ht="75.75" customHeight="1" thickBot="1">
      <c r="A7" s="395"/>
      <c r="B7" s="396" t="s">
        <v>213</v>
      </c>
      <c r="C7" s="397" t="s">
        <v>214</v>
      </c>
      <c r="D7" s="397" t="s">
        <v>487</v>
      </c>
      <c r="E7" s="398" t="s">
        <v>202</v>
      </c>
    </row>
    <row r="8" spans="1:5" ht="15.75" thickBot="1">
      <c r="A8" s="399"/>
      <c r="B8" s="400" t="s">
        <v>207</v>
      </c>
      <c r="C8" s="401" t="s">
        <v>208</v>
      </c>
      <c r="D8" s="401" t="s">
        <v>209</v>
      </c>
      <c r="E8" s="402" t="s">
        <v>210</v>
      </c>
    </row>
    <row r="9" spans="1:5" ht="15">
      <c r="A9" s="403" t="s">
        <v>4</v>
      </c>
      <c r="B9" s="425">
        <f>UR08!N13</f>
        <v>85755.225</v>
      </c>
      <c r="C9" s="404">
        <f>'HV-HC orig'!D38+'HV-HC orig'!D67</f>
        <v>81657.13</v>
      </c>
      <c r="D9" s="404">
        <f aca="true" t="shared" si="0" ref="D9:D22">B9-C9</f>
        <v>4098.095000000001</v>
      </c>
      <c r="E9" s="405">
        <f aca="true" t="shared" si="1" ref="E9:E23">(C9/B9)*100</f>
        <v>95.22117165455516</v>
      </c>
    </row>
    <row r="10" spans="1:5" ht="15">
      <c r="A10" s="406" t="s">
        <v>5</v>
      </c>
      <c r="B10" s="407">
        <f>UR08!N28</f>
        <v>172409.57</v>
      </c>
      <c r="C10" s="408">
        <f>'HV-HC orig'!E38+'HV-HC orig'!E67</f>
        <v>636494.49</v>
      </c>
      <c r="D10" s="408">
        <f t="shared" si="0"/>
        <v>-464084.92</v>
      </c>
      <c r="E10" s="405">
        <f t="shared" si="1"/>
        <v>369.17584679319134</v>
      </c>
    </row>
    <row r="11" spans="1:5" ht="15">
      <c r="A11" s="406" t="s">
        <v>6</v>
      </c>
      <c r="B11" s="407">
        <f>UR08!N30</f>
        <v>10257</v>
      </c>
      <c r="C11" s="408">
        <f>'HV-HC orig'!F38+'HV-HC orig'!F67</f>
        <v>7887.65</v>
      </c>
      <c r="D11" s="408">
        <f t="shared" si="0"/>
        <v>2369.3500000000004</v>
      </c>
      <c r="E11" s="405">
        <f t="shared" si="1"/>
        <v>76.90016574046992</v>
      </c>
    </row>
    <row r="12" spans="1:5" ht="15">
      <c r="A12" s="406" t="s">
        <v>7</v>
      </c>
      <c r="B12" s="407">
        <f>UR08!N41</f>
        <v>99233</v>
      </c>
      <c r="C12" s="408">
        <f>'HV-HC orig'!G38+'HV-HC orig'!G67</f>
        <v>106467.8</v>
      </c>
      <c r="D12" s="408">
        <f t="shared" si="0"/>
        <v>-7234.800000000003</v>
      </c>
      <c r="E12" s="405">
        <f t="shared" si="1"/>
        <v>107.2907198210273</v>
      </c>
    </row>
    <row r="13" spans="1:5" ht="15">
      <c r="A13" s="406" t="s">
        <v>8</v>
      </c>
      <c r="B13" s="407">
        <f>UR08!N48</f>
        <v>87007.908</v>
      </c>
      <c r="C13" s="408">
        <f>'HV-HC orig'!H38+'HV-HC orig'!H67</f>
        <v>110114.32</v>
      </c>
      <c r="D13" s="408">
        <f t="shared" si="0"/>
        <v>-23106.41200000001</v>
      </c>
      <c r="E13" s="405">
        <f t="shared" si="1"/>
        <v>126.55668034220524</v>
      </c>
    </row>
    <row r="14" spans="1:5" ht="15">
      <c r="A14" s="406" t="s">
        <v>9</v>
      </c>
      <c r="B14" s="407">
        <f>UR08!N54</f>
        <v>50865.070999999996</v>
      </c>
      <c r="C14" s="408">
        <f>'HV-HC orig'!I38+'HV-HC orig'!I67</f>
        <v>53307.87999999999</v>
      </c>
      <c r="D14" s="408">
        <f t="shared" si="0"/>
        <v>-2442.808999999994</v>
      </c>
      <c r="E14" s="405">
        <f t="shared" si="1"/>
        <v>104.80252745543204</v>
      </c>
    </row>
    <row r="15" spans="1:9" ht="15">
      <c r="A15" s="409" t="s">
        <v>10</v>
      </c>
      <c r="B15" s="410">
        <f>UR08!N60</f>
        <v>14849</v>
      </c>
      <c r="C15" s="411">
        <f>'HV-HC orig'!J38+'HV-HC orig'!J67</f>
        <v>14871.94</v>
      </c>
      <c r="D15" s="411">
        <f t="shared" si="0"/>
        <v>-22.94000000000051</v>
      </c>
      <c r="E15" s="405">
        <f t="shared" si="1"/>
        <v>100.1544885177453</v>
      </c>
      <c r="I15" s="150"/>
    </row>
    <row r="16" spans="1:5" ht="15">
      <c r="A16" s="412" t="s">
        <v>11</v>
      </c>
      <c r="B16" s="410">
        <f>UR08!N68</f>
        <v>62610.915</v>
      </c>
      <c r="C16" s="411">
        <f>'HV-HC orig'!K38+'HV-HC orig'!K67</f>
        <v>120726.56999999999</v>
      </c>
      <c r="D16" s="411">
        <f t="shared" si="0"/>
        <v>-58115.65499999999</v>
      </c>
      <c r="E16" s="405">
        <f t="shared" si="1"/>
        <v>192.82032533784243</v>
      </c>
    </row>
    <row r="17" spans="1:5" ht="15">
      <c r="A17" s="413" t="s">
        <v>12</v>
      </c>
      <c r="B17" s="410">
        <f>UR08!N74</f>
        <v>223220</v>
      </c>
      <c r="C17" s="411">
        <f>'HV-HC orig'!L38+'HV-HC orig'!L67</f>
        <v>211516.06000000003</v>
      </c>
      <c r="D17" s="411">
        <f t="shared" si="0"/>
        <v>11703.939999999973</v>
      </c>
      <c r="E17" s="405">
        <f t="shared" si="1"/>
        <v>94.75676910671088</v>
      </c>
    </row>
    <row r="18" spans="1:5" ht="15">
      <c r="A18" s="413" t="s">
        <v>13</v>
      </c>
      <c r="B18" s="410">
        <f>UR08!N77</f>
        <v>12666</v>
      </c>
      <c r="C18" s="411">
        <f>'HV-HC orig'!M38+'HV-HC orig'!M67</f>
        <v>13910.990000000002</v>
      </c>
      <c r="D18" s="411">
        <f t="shared" si="0"/>
        <v>-1244.9900000000016</v>
      </c>
      <c r="E18" s="405">
        <f t="shared" si="1"/>
        <v>109.82938575714512</v>
      </c>
    </row>
    <row r="19" spans="1:5" ht="15">
      <c r="A19" s="413" t="s">
        <v>14</v>
      </c>
      <c r="B19" s="410">
        <f>UR08!N83</f>
        <v>98425.45</v>
      </c>
      <c r="C19" s="411">
        <f>'HV-HC orig'!N38+'HV-HC orig'!N67</f>
        <v>107157.96999999997</v>
      </c>
      <c r="D19" s="411">
        <f t="shared" si="0"/>
        <v>-8732.519999999975</v>
      </c>
      <c r="E19" s="405">
        <f t="shared" si="1"/>
        <v>108.87221750065656</v>
      </c>
    </row>
    <row r="20" spans="1:5" ht="15">
      <c r="A20" s="413" t="s">
        <v>30</v>
      </c>
      <c r="B20" s="410">
        <f>UR08!N85</f>
        <v>6379</v>
      </c>
      <c r="C20" s="411">
        <f>'HV-HC orig'!O38+'HV-HC orig'!O67</f>
        <v>6007.66</v>
      </c>
      <c r="D20" s="411">
        <f t="shared" si="0"/>
        <v>371.34000000000015</v>
      </c>
      <c r="E20" s="405">
        <f t="shared" si="1"/>
        <v>94.17871139677065</v>
      </c>
    </row>
    <row r="21" spans="1:5" ht="15">
      <c r="A21" s="413" t="s">
        <v>16</v>
      </c>
      <c r="B21" s="414">
        <f>UR08!N88</f>
        <v>4392.83</v>
      </c>
      <c r="C21" s="415">
        <f>'HV-HC orig'!P38+'HV-HC orig'!P67</f>
        <v>4821.519999999999</v>
      </c>
      <c r="D21" s="415">
        <f t="shared" si="0"/>
        <v>-428.6899999999987</v>
      </c>
      <c r="E21" s="405">
        <f t="shared" si="1"/>
        <v>109.75885704659636</v>
      </c>
    </row>
    <row r="22" spans="1:5" ht="15.75" thickBot="1">
      <c r="A22" s="416" t="s">
        <v>17</v>
      </c>
      <c r="B22" s="414">
        <f>UR08!N90</f>
        <v>13447</v>
      </c>
      <c r="C22" s="415">
        <f>'HV-HC orig'!Q38+'HV-HC orig'!Q67</f>
        <v>14529.769999999999</v>
      </c>
      <c r="D22" s="415">
        <f t="shared" si="0"/>
        <v>-1082.7699999999986</v>
      </c>
      <c r="E22" s="417">
        <f t="shared" si="1"/>
        <v>108.05213058674796</v>
      </c>
    </row>
    <row r="23" spans="1:5" ht="16.5" thickBot="1">
      <c r="A23" s="181" t="s">
        <v>24</v>
      </c>
      <c r="B23" s="274">
        <f>SUM(B9:B22)</f>
        <v>941517.9689999999</v>
      </c>
      <c r="C23" s="275">
        <f>SUM(C9:C22)</f>
        <v>1489471.75</v>
      </c>
      <c r="D23" s="275">
        <f>SUM(D9:D22)</f>
        <v>-547953.7810000001</v>
      </c>
      <c r="E23" s="178">
        <f t="shared" si="1"/>
        <v>158.198972196143</v>
      </c>
    </row>
  </sheetData>
  <printOptions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0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1" sqref="G30:G31"/>
    </sheetView>
  </sheetViews>
  <sheetFormatPr defaultColWidth="9.140625" defaultRowHeight="12.75"/>
  <cols>
    <col min="1" max="1" width="19.8515625" style="145" customWidth="1"/>
    <col min="2" max="2" width="11.140625" style="145" customWidth="1"/>
    <col min="3" max="3" width="11.00390625" style="145" customWidth="1"/>
    <col min="4" max="4" width="11.57421875" style="145" customWidth="1"/>
    <col min="5" max="5" width="9.28125" style="145" customWidth="1"/>
    <col min="6" max="6" width="10.140625" style="145" customWidth="1"/>
    <col min="7" max="7" width="11.00390625" style="145" customWidth="1"/>
    <col min="8" max="8" width="10.28125" style="145" customWidth="1"/>
    <col min="9" max="9" width="9.57421875" style="145" customWidth="1"/>
    <col min="10" max="10" width="9.28125" style="145" customWidth="1"/>
    <col min="11" max="11" width="11.00390625" style="145" customWidth="1"/>
    <col min="12" max="12" width="11.140625" style="145" customWidth="1"/>
    <col min="13" max="13" width="9.140625" style="145" customWidth="1"/>
    <col min="14" max="14" width="9.7109375" style="145" customWidth="1"/>
    <col min="15" max="15" width="11.140625" style="145" customWidth="1"/>
    <col min="16" max="16" width="11.28125" style="145" customWidth="1"/>
    <col min="17" max="16384" width="9.140625" style="145" customWidth="1"/>
  </cols>
  <sheetData>
    <row r="1" ht="12.75">
      <c r="H1" s="39"/>
    </row>
    <row r="2" spans="1:17" ht="15.75">
      <c r="A2" s="146"/>
      <c r="Q2" s="147" t="s">
        <v>491</v>
      </c>
    </row>
    <row r="4" ht="15.75">
      <c r="A4" s="148" t="s">
        <v>318</v>
      </c>
    </row>
    <row r="5" ht="15.75">
      <c r="A5" s="148"/>
    </row>
    <row r="6" spans="1:17" ht="16.5" thickBot="1">
      <c r="A6" s="148"/>
      <c r="E6" s="149"/>
      <c r="H6" s="149"/>
      <c r="Q6" s="150" t="s">
        <v>1</v>
      </c>
    </row>
    <row r="7" spans="1:17" ht="64.5" thickBot="1">
      <c r="A7" s="151"/>
      <c r="B7" s="152" t="s">
        <v>199</v>
      </c>
      <c r="C7" s="356" t="s">
        <v>200</v>
      </c>
      <c r="D7" s="153" t="s">
        <v>201</v>
      </c>
      <c r="E7" s="154" t="s">
        <v>202</v>
      </c>
      <c r="F7" s="152" t="s">
        <v>203</v>
      </c>
      <c r="G7" s="356" t="s">
        <v>200</v>
      </c>
      <c r="H7" s="153" t="s">
        <v>204</v>
      </c>
      <c r="I7" s="154" t="s">
        <v>202</v>
      </c>
      <c r="J7" s="152" t="s">
        <v>205</v>
      </c>
      <c r="K7" s="356" t="s">
        <v>200</v>
      </c>
      <c r="L7" s="153" t="s">
        <v>204</v>
      </c>
      <c r="M7" s="154" t="s">
        <v>202</v>
      </c>
      <c r="N7" s="152" t="s">
        <v>206</v>
      </c>
      <c r="O7" s="153" t="s">
        <v>200</v>
      </c>
      <c r="P7" s="153" t="s">
        <v>204</v>
      </c>
      <c r="Q7" s="154" t="s">
        <v>202</v>
      </c>
    </row>
    <row r="8" spans="1:17" ht="13.5" thickBot="1">
      <c r="A8" s="155"/>
      <c r="B8" s="156" t="s">
        <v>207</v>
      </c>
      <c r="C8" s="357" t="s">
        <v>208</v>
      </c>
      <c r="D8" s="157" t="s">
        <v>209</v>
      </c>
      <c r="E8" s="158" t="s">
        <v>210</v>
      </c>
      <c r="F8" s="156" t="s">
        <v>207</v>
      </c>
      <c r="G8" s="357" t="s">
        <v>208</v>
      </c>
      <c r="H8" s="157" t="s">
        <v>209</v>
      </c>
      <c r="I8" s="158" t="s">
        <v>210</v>
      </c>
      <c r="J8" s="156" t="s">
        <v>207</v>
      </c>
      <c r="K8" s="357" t="s">
        <v>208</v>
      </c>
      <c r="L8" s="157" t="s">
        <v>209</v>
      </c>
      <c r="M8" s="158" t="s">
        <v>210</v>
      </c>
      <c r="N8" s="156" t="s">
        <v>207</v>
      </c>
      <c r="O8" s="157" t="s">
        <v>208</v>
      </c>
      <c r="P8" s="157" t="s">
        <v>209</v>
      </c>
      <c r="Q8" s="158" t="s">
        <v>210</v>
      </c>
    </row>
    <row r="9" spans="1:17" ht="12.75">
      <c r="A9" s="159" t="s">
        <v>4</v>
      </c>
      <c r="B9" s="293">
        <f>UR08!F13</f>
        <v>17021.048000000003</v>
      </c>
      <c r="C9" s="358">
        <f>'HV-HC orig'!D17+'HV-HC orig'!D18</f>
        <v>14481.36</v>
      </c>
      <c r="D9" s="161">
        <f aca="true" t="shared" si="0" ref="D9:D17">B9-C9</f>
        <v>2539.688000000002</v>
      </c>
      <c r="E9" s="162">
        <f aca="true" t="shared" si="1" ref="E9:E17">(C9/B9)*100</f>
        <v>85.07913261275098</v>
      </c>
      <c r="F9" s="293">
        <f>UR08!G13</f>
        <v>171.30700000000002</v>
      </c>
      <c r="G9" s="358">
        <f>'HV-HC orig'!D19</f>
        <v>176.33</v>
      </c>
      <c r="H9" s="161">
        <f aca="true" t="shared" si="2" ref="H9:H17">F9-G9</f>
        <v>-5.022999999999996</v>
      </c>
      <c r="I9" s="162">
        <f aca="true" t="shared" si="3" ref="I9:I17">(G9/F9)*100</f>
        <v>102.93216272539942</v>
      </c>
      <c r="J9" s="293">
        <f>UR08!J13+UR08!M13</f>
        <v>13182.147</v>
      </c>
      <c r="K9" s="358">
        <f>'HV-HC orig'!D38+'HV-HC orig'!D67-'HV-HC orig'!D16-'HV-HC orig'!D17-'HV-HC orig'!D18-'HV-HC orig'!D19</f>
        <v>18101.920000000006</v>
      </c>
      <c r="L9" s="161">
        <f aca="true" t="shared" si="4" ref="L9:L22">J9-K9</f>
        <v>-4919.773000000005</v>
      </c>
      <c r="M9" s="162">
        <f aca="true" t="shared" si="5" ref="M9:M23">(K9/J9)*100</f>
        <v>137.3214848840633</v>
      </c>
      <c r="N9" s="160">
        <f aca="true" t="shared" si="6" ref="N9:N22">B9+F9+J9</f>
        <v>30374.502000000004</v>
      </c>
      <c r="O9" s="161">
        <f aca="true" t="shared" si="7" ref="O9:O22">C9+G9+K9</f>
        <v>32759.610000000008</v>
      </c>
      <c r="P9" s="161">
        <f aca="true" t="shared" si="8" ref="P9:P22">N9-O9</f>
        <v>-2385.108000000004</v>
      </c>
      <c r="Q9" s="162">
        <f aca="true" t="shared" si="9" ref="Q9:Q23">(O9/N9)*100</f>
        <v>107.85233614694324</v>
      </c>
    </row>
    <row r="10" spans="1:17" ht="12.75">
      <c r="A10" s="163" t="s">
        <v>5</v>
      </c>
      <c r="B10" s="337">
        <f>UR08!F28</f>
        <v>9735</v>
      </c>
      <c r="C10" s="359">
        <f>'HV-HC orig'!E17+'HV-HC orig'!E18</f>
        <v>9379.34</v>
      </c>
      <c r="D10" s="165">
        <f t="shared" si="0"/>
        <v>355.65999999999985</v>
      </c>
      <c r="E10" s="162">
        <f t="shared" si="1"/>
        <v>96.34658448895738</v>
      </c>
      <c r="F10" s="337">
        <f>UR08!G28</f>
        <v>507</v>
      </c>
      <c r="G10" s="359">
        <f>'HV-HC orig'!E19</f>
        <v>622.43</v>
      </c>
      <c r="H10" s="165">
        <f t="shared" si="2"/>
        <v>-115.42999999999995</v>
      </c>
      <c r="I10" s="162">
        <f t="shared" si="3"/>
        <v>122.76725838264299</v>
      </c>
      <c r="J10" s="337">
        <f>UR08!J28+UR08!M28</f>
        <v>134339.57</v>
      </c>
      <c r="K10" s="359">
        <f>'HV-HC orig'!E38+'HV-HC orig'!E67-'HV-HC orig'!E16-'HV-HC orig'!E17-'HV-HC orig'!E18-'HV-HC orig'!E19</f>
        <v>584856.5399999998</v>
      </c>
      <c r="L10" s="165">
        <f t="shared" si="4"/>
        <v>-450516.9699999998</v>
      </c>
      <c r="M10" s="162">
        <f t="shared" si="5"/>
        <v>435.3568646974229</v>
      </c>
      <c r="N10" s="164">
        <f t="shared" si="6"/>
        <v>144581.57</v>
      </c>
      <c r="O10" s="165">
        <f t="shared" si="7"/>
        <v>594858.3099999998</v>
      </c>
      <c r="P10" s="165">
        <f t="shared" si="8"/>
        <v>-450276.7399999998</v>
      </c>
      <c r="Q10" s="162">
        <f t="shared" si="9"/>
        <v>411.4343965140231</v>
      </c>
    </row>
    <row r="11" spans="1:17" ht="12.75">
      <c r="A11" s="163" t="s">
        <v>6</v>
      </c>
      <c r="B11" s="337">
        <f>UR08!F30</f>
        <v>330</v>
      </c>
      <c r="C11" s="359">
        <f>'HV-HC orig'!F17+'HV-HC orig'!F18</f>
        <v>321.79</v>
      </c>
      <c r="D11" s="165">
        <f t="shared" si="0"/>
        <v>8.20999999999998</v>
      </c>
      <c r="E11" s="162">
        <f t="shared" si="1"/>
        <v>97.51212121212122</v>
      </c>
      <c r="F11" s="337">
        <f>UR08!G30</f>
        <v>18</v>
      </c>
      <c r="G11" s="359">
        <f>'HV-HC orig'!F19</f>
        <v>0</v>
      </c>
      <c r="H11" s="165">
        <f t="shared" si="2"/>
        <v>18</v>
      </c>
      <c r="I11" s="162">
        <f t="shared" si="3"/>
        <v>0</v>
      </c>
      <c r="J11" s="337">
        <f>UR08!J30+UR08!M30</f>
        <v>8899</v>
      </c>
      <c r="K11" s="359">
        <f>'HV-HC orig'!F38+'HV-HC orig'!F67-'HV-HC orig'!F16-'HV-HC orig'!F17-'HV-HC orig'!F18-'HV-HC orig'!F19</f>
        <v>6587.28</v>
      </c>
      <c r="L11" s="165">
        <f t="shared" si="4"/>
        <v>2311.7200000000003</v>
      </c>
      <c r="M11" s="162">
        <f t="shared" si="5"/>
        <v>74.0226991796831</v>
      </c>
      <c r="N11" s="164">
        <f t="shared" si="6"/>
        <v>9247</v>
      </c>
      <c r="O11" s="165">
        <f t="shared" si="7"/>
        <v>6909.07</v>
      </c>
      <c r="P11" s="165">
        <f t="shared" si="8"/>
        <v>2337.9300000000003</v>
      </c>
      <c r="Q11" s="162">
        <f t="shared" si="9"/>
        <v>74.71688115064345</v>
      </c>
    </row>
    <row r="12" spans="1:17" ht="12.75">
      <c r="A12" s="163" t="s">
        <v>7</v>
      </c>
      <c r="B12" s="337">
        <f>UR08!F41</f>
        <v>14774</v>
      </c>
      <c r="C12" s="359">
        <f>'HV-HC orig'!G17+'HV-HC orig'!G18</f>
        <v>15358.87</v>
      </c>
      <c r="D12" s="165">
        <f t="shared" si="0"/>
        <v>-584.8700000000008</v>
      </c>
      <c r="E12" s="162">
        <f t="shared" si="1"/>
        <v>103.95877893596861</v>
      </c>
      <c r="F12" s="337">
        <f>UR08!G41</f>
        <v>829</v>
      </c>
      <c r="G12" s="359">
        <f>'HV-HC orig'!G19</f>
        <v>832.46</v>
      </c>
      <c r="H12" s="165">
        <f t="shared" si="2"/>
        <v>-3.4600000000000364</v>
      </c>
      <c r="I12" s="162">
        <f t="shared" si="3"/>
        <v>100.4173703256936</v>
      </c>
      <c r="J12" s="337">
        <f>UR08!J41+UR08!M41</f>
        <v>38913</v>
      </c>
      <c r="K12" s="359">
        <f>'HV-HC orig'!G38+'HV-HC orig'!G67-'HV-HC orig'!G16-'HV-HC orig'!G17-'HV-HC orig'!G18-'HV-HC orig'!G19</f>
        <v>43383.39</v>
      </c>
      <c r="L12" s="165">
        <f t="shared" si="4"/>
        <v>-4470.389999999999</v>
      </c>
      <c r="M12" s="162">
        <f t="shared" si="5"/>
        <v>111.48816590856525</v>
      </c>
      <c r="N12" s="164">
        <f t="shared" si="6"/>
        <v>54516</v>
      </c>
      <c r="O12" s="165">
        <f t="shared" si="7"/>
        <v>59574.72</v>
      </c>
      <c r="P12" s="165">
        <f t="shared" si="8"/>
        <v>-5058.720000000001</v>
      </c>
      <c r="Q12" s="162">
        <f t="shared" si="9"/>
        <v>109.27933083865287</v>
      </c>
    </row>
    <row r="13" spans="1:17" ht="12.75">
      <c r="A13" s="163" t="s">
        <v>8</v>
      </c>
      <c r="B13" s="337">
        <f>UR08!F48</f>
        <v>12413.842</v>
      </c>
      <c r="C13" s="359">
        <f>'HV-HC orig'!H17+'HV-HC orig'!H18</f>
        <v>14267.95</v>
      </c>
      <c r="D13" s="165">
        <f t="shared" si="0"/>
        <v>-1854.1080000000002</v>
      </c>
      <c r="E13" s="162">
        <f t="shared" si="1"/>
        <v>114.93581116949933</v>
      </c>
      <c r="F13" s="337">
        <f>UR08!G48</f>
        <v>584.9159999999999</v>
      </c>
      <c r="G13" s="359">
        <f>'HV-HC orig'!H19</f>
        <v>659.75</v>
      </c>
      <c r="H13" s="165">
        <f t="shared" si="2"/>
        <v>-74.83400000000006</v>
      </c>
      <c r="I13" s="162">
        <f t="shared" si="3"/>
        <v>112.79397383555931</v>
      </c>
      <c r="J13" s="337">
        <f>UR08!J48+UR08!M48</f>
        <v>28243.207000000002</v>
      </c>
      <c r="K13" s="359">
        <f>'HV-HC orig'!H38+'HV-HC orig'!H67-'HV-HC orig'!H16-'HV-HC orig'!H17-'HV-HC orig'!H18-'HV-HC orig'!H19</f>
        <v>38075.01000000001</v>
      </c>
      <c r="L13" s="165">
        <f t="shared" si="4"/>
        <v>-9831.803000000007</v>
      </c>
      <c r="M13" s="162">
        <f t="shared" si="5"/>
        <v>134.81121318836068</v>
      </c>
      <c r="N13" s="164">
        <f t="shared" si="6"/>
        <v>41241.965000000004</v>
      </c>
      <c r="O13" s="165">
        <f t="shared" si="7"/>
        <v>53002.71000000001</v>
      </c>
      <c r="P13" s="165">
        <f t="shared" si="8"/>
        <v>-11760.745000000003</v>
      </c>
      <c r="Q13" s="162">
        <f t="shared" si="9"/>
        <v>128.5164516288203</v>
      </c>
    </row>
    <row r="14" spans="1:17" ht="12.75">
      <c r="A14" s="163" t="s">
        <v>9</v>
      </c>
      <c r="B14" s="337">
        <f>UR08!F54</f>
        <v>8421.516</v>
      </c>
      <c r="C14" s="359">
        <f>'HV-HC orig'!I17+'HV-HC orig'!I18</f>
        <v>8050.48</v>
      </c>
      <c r="D14" s="165">
        <f t="shared" si="0"/>
        <v>371.03600000000006</v>
      </c>
      <c r="E14" s="162">
        <f t="shared" si="1"/>
        <v>95.59418992969911</v>
      </c>
      <c r="F14" s="337">
        <f>UR08!G54</f>
        <v>317.939</v>
      </c>
      <c r="G14" s="359">
        <f>'HV-HC orig'!I19</f>
        <v>334.91</v>
      </c>
      <c r="H14" s="165">
        <f t="shared" si="2"/>
        <v>-16.971000000000004</v>
      </c>
      <c r="I14" s="162">
        <f t="shared" si="3"/>
        <v>105.3378163735811</v>
      </c>
      <c r="J14" s="337">
        <f>UR08!J54+UR08!M54</f>
        <v>13388.509</v>
      </c>
      <c r="K14" s="359">
        <f>'HV-HC orig'!I38+'HV-HC orig'!I67-'HV-HC orig'!I16-'HV-HC orig'!I17-'HV-HC orig'!I18-'HV-HC orig'!I19</f>
        <v>14768.82999999999</v>
      </c>
      <c r="L14" s="165">
        <f t="shared" si="4"/>
        <v>-1380.3209999999908</v>
      </c>
      <c r="M14" s="162">
        <f t="shared" si="5"/>
        <v>110.30974397522526</v>
      </c>
      <c r="N14" s="164">
        <f t="shared" si="6"/>
        <v>22127.964</v>
      </c>
      <c r="O14" s="165">
        <f t="shared" si="7"/>
        <v>23154.21999999999</v>
      </c>
      <c r="P14" s="165">
        <f t="shared" si="8"/>
        <v>-1026.2559999999903</v>
      </c>
      <c r="Q14" s="162">
        <f t="shared" si="9"/>
        <v>104.63782388655365</v>
      </c>
    </row>
    <row r="15" spans="1:17" ht="12.75">
      <c r="A15" s="166" t="s">
        <v>10</v>
      </c>
      <c r="B15" s="337">
        <f>UR08!F60</f>
        <v>1518</v>
      </c>
      <c r="C15" s="359">
        <f>'HV-HC orig'!J17+'HV-HC orig'!J18</f>
        <v>1524.85</v>
      </c>
      <c r="D15" s="168">
        <f t="shared" si="0"/>
        <v>-6.849999999999909</v>
      </c>
      <c r="E15" s="162">
        <f t="shared" si="1"/>
        <v>100.4512516469038</v>
      </c>
      <c r="F15" s="337">
        <f>UR08!G60</f>
        <v>79</v>
      </c>
      <c r="G15" s="359">
        <f>'HV-HC orig'!J19</f>
        <v>78.94</v>
      </c>
      <c r="H15" s="168">
        <f t="shared" si="2"/>
        <v>0.060000000000002274</v>
      </c>
      <c r="I15" s="162">
        <f t="shared" si="3"/>
        <v>99.92405063291139</v>
      </c>
      <c r="J15" s="337">
        <f>UR08!J60+UR08!M60</f>
        <v>8476</v>
      </c>
      <c r="K15" s="359">
        <f>'HV-HC orig'!J38+'HV-HC orig'!J67-'HV-HC orig'!J16-'HV-HC orig'!J17-'HV-HC orig'!J18-'HV-HC orig'!J19</f>
        <v>8492.15</v>
      </c>
      <c r="L15" s="168">
        <f t="shared" si="4"/>
        <v>-16.149999999999636</v>
      </c>
      <c r="M15" s="162">
        <f t="shared" si="5"/>
        <v>100.19053798961775</v>
      </c>
      <c r="N15" s="167">
        <f t="shared" si="6"/>
        <v>10073</v>
      </c>
      <c r="O15" s="168">
        <f t="shared" si="7"/>
        <v>10095.939999999999</v>
      </c>
      <c r="P15" s="168">
        <f t="shared" si="8"/>
        <v>-22.93999999999869</v>
      </c>
      <c r="Q15" s="162">
        <f t="shared" si="9"/>
        <v>100.22773751613224</v>
      </c>
    </row>
    <row r="16" spans="1:17" ht="12.75">
      <c r="A16" s="169" t="s">
        <v>11</v>
      </c>
      <c r="B16" s="337">
        <f>UR08!F68</f>
        <v>5919.749</v>
      </c>
      <c r="C16" s="359">
        <f>'HV-HC orig'!K17+'HV-HC orig'!K18</f>
        <v>7361.05</v>
      </c>
      <c r="D16" s="168">
        <f t="shared" si="0"/>
        <v>-1441.3010000000004</v>
      </c>
      <c r="E16" s="162">
        <f t="shared" si="1"/>
        <v>124.3473329696918</v>
      </c>
      <c r="F16" s="337">
        <f>UR08!G68</f>
        <v>289</v>
      </c>
      <c r="G16" s="359">
        <f>'HV-HC orig'!K19</f>
        <v>373.69</v>
      </c>
      <c r="H16" s="168">
        <f t="shared" si="2"/>
        <v>-84.69</v>
      </c>
      <c r="I16" s="162">
        <f t="shared" si="3"/>
        <v>129.3044982698962</v>
      </c>
      <c r="J16" s="337">
        <f>UR08!J68+UR08!M68</f>
        <v>36763.166</v>
      </c>
      <c r="K16" s="359">
        <f>'HV-HC orig'!K38+'HV-HC orig'!K67-'HV-HC orig'!K16-'HV-HC orig'!K17-'HV-HC orig'!K18-'HV-HC orig'!K19</f>
        <v>89356.23</v>
      </c>
      <c r="L16" s="168">
        <f t="shared" si="4"/>
        <v>-52593.064</v>
      </c>
      <c r="M16" s="162">
        <f t="shared" si="5"/>
        <v>243.05912608288418</v>
      </c>
      <c r="N16" s="167">
        <f t="shared" si="6"/>
        <v>42971.91499999999</v>
      </c>
      <c r="O16" s="168">
        <f t="shared" si="7"/>
        <v>97090.97</v>
      </c>
      <c r="P16" s="168">
        <f t="shared" si="8"/>
        <v>-54119.05500000001</v>
      </c>
      <c r="Q16" s="162">
        <f t="shared" si="9"/>
        <v>225.9405241772446</v>
      </c>
    </row>
    <row r="17" spans="1:17" ht="12.75">
      <c r="A17" s="170" t="s">
        <v>12</v>
      </c>
      <c r="B17" s="337">
        <f>UR08!F74</f>
        <v>11758</v>
      </c>
      <c r="C17" s="359">
        <f>'HV-HC orig'!L17+'HV-HC orig'!L18</f>
        <v>11834.95</v>
      </c>
      <c r="D17" s="168">
        <f t="shared" si="0"/>
        <v>-76.95000000000073</v>
      </c>
      <c r="E17" s="162">
        <f t="shared" si="1"/>
        <v>100.65444803538017</v>
      </c>
      <c r="F17" s="337">
        <f>UR08!G74</f>
        <v>672</v>
      </c>
      <c r="G17" s="359">
        <f>'HV-HC orig'!L19</f>
        <v>674.83</v>
      </c>
      <c r="H17" s="168">
        <f t="shared" si="2"/>
        <v>-2.830000000000041</v>
      </c>
      <c r="I17" s="162">
        <f t="shared" si="3"/>
        <v>100.42113095238096</v>
      </c>
      <c r="J17" s="337">
        <f>UR08!J74+UR08!M74</f>
        <v>176965</v>
      </c>
      <c r="K17" s="359">
        <f>'HV-HC orig'!L38+'HV-HC orig'!L67-'HV-HC orig'!L16-'HV-HC orig'!L17-'HV-HC orig'!L18-'HV-HC orig'!L19</f>
        <v>164956.37000000002</v>
      </c>
      <c r="L17" s="168">
        <f t="shared" si="4"/>
        <v>12008.629999999976</v>
      </c>
      <c r="M17" s="162">
        <f t="shared" si="5"/>
        <v>93.21412143644224</v>
      </c>
      <c r="N17" s="167">
        <f t="shared" si="6"/>
        <v>189395</v>
      </c>
      <c r="O17" s="168">
        <f t="shared" si="7"/>
        <v>177466.15000000002</v>
      </c>
      <c r="P17" s="168">
        <f t="shared" si="8"/>
        <v>11928.849999999977</v>
      </c>
      <c r="Q17" s="162">
        <f t="shared" si="9"/>
        <v>93.70160247102618</v>
      </c>
    </row>
    <row r="18" spans="1:17" ht="12.75">
      <c r="A18" s="170" t="s">
        <v>13</v>
      </c>
      <c r="B18" s="337">
        <f>UR08!F77</f>
        <v>0</v>
      </c>
      <c r="C18" s="359">
        <f>'HV-HC orig'!M17+'HV-HC orig'!M18</f>
        <v>0</v>
      </c>
      <c r="D18" s="168"/>
      <c r="E18" s="162">
        <v>0</v>
      </c>
      <c r="F18" s="337">
        <f>UR08!G77</f>
        <v>0</v>
      </c>
      <c r="G18" s="359">
        <f>'HV-HC orig'!M19</f>
        <v>0</v>
      </c>
      <c r="H18" s="168"/>
      <c r="I18" s="162">
        <v>0</v>
      </c>
      <c r="J18" s="337">
        <f>UR08!J77+UR08!M77</f>
        <v>12666</v>
      </c>
      <c r="K18" s="359">
        <f>'HV-HC orig'!M38+'HV-HC orig'!M67-'HV-HC orig'!M16-'HV-HC orig'!M17-'HV-HC orig'!M18-'HV-HC orig'!M19</f>
        <v>13910.990000000002</v>
      </c>
      <c r="L18" s="168">
        <f t="shared" si="4"/>
        <v>-1244.9900000000016</v>
      </c>
      <c r="M18" s="162">
        <f t="shared" si="5"/>
        <v>109.82938575714512</v>
      </c>
      <c r="N18" s="167">
        <f t="shared" si="6"/>
        <v>12666</v>
      </c>
      <c r="O18" s="168">
        <f t="shared" si="7"/>
        <v>13910.990000000002</v>
      </c>
      <c r="P18" s="168">
        <f t="shared" si="8"/>
        <v>-1244.9900000000016</v>
      </c>
      <c r="Q18" s="162">
        <f t="shared" si="9"/>
        <v>109.82938575714512</v>
      </c>
    </row>
    <row r="19" spans="1:17" ht="12.75">
      <c r="A19" s="170" t="s">
        <v>14</v>
      </c>
      <c r="B19" s="337">
        <f>UR08!F83</f>
        <v>9970.016</v>
      </c>
      <c r="C19" s="359">
        <f>'HV-HC orig'!N17+'HV-HC orig'!N18</f>
        <v>13041.24</v>
      </c>
      <c r="D19" s="168">
        <f>B19-C19</f>
        <v>-3071.224</v>
      </c>
      <c r="E19" s="162">
        <f>(C19/B19)*100</f>
        <v>130.8046045262114</v>
      </c>
      <c r="F19" s="337">
        <f>UR08!G83</f>
        <v>481.48</v>
      </c>
      <c r="G19" s="359">
        <f>'HV-HC orig'!N19</f>
        <v>536.68</v>
      </c>
      <c r="H19" s="168">
        <f>F19-G19</f>
        <v>-55.19999999999993</v>
      </c>
      <c r="I19" s="162">
        <f>(G19/F19)*100</f>
        <v>111.46465066046356</v>
      </c>
      <c r="J19" s="337">
        <f>UR08!J83+UR08!M83</f>
        <v>42895.740000000005</v>
      </c>
      <c r="K19" s="359">
        <f>'HV-HC orig'!N38+'HV-HC orig'!N67-'HV-HC orig'!N16-'HV-HC orig'!N17-'HV-HC orig'!N18-'HV-HC orig'!N19</f>
        <v>47845.559999999976</v>
      </c>
      <c r="L19" s="168">
        <f t="shared" si="4"/>
        <v>-4949.819999999971</v>
      </c>
      <c r="M19" s="162">
        <f t="shared" si="5"/>
        <v>111.53918780746052</v>
      </c>
      <c r="N19" s="167">
        <f t="shared" si="6"/>
        <v>53347.236000000004</v>
      </c>
      <c r="O19" s="168">
        <f t="shared" si="7"/>
        <v>61423.479999999974</v>
      </c>
      <c r="P19" s="168">
        <f t="shared" si="8"/>
        <v>-8076.24399999997</v>
      </c>
      <c r="Q19" s="162">
        <f t="shared" si="9"/>
        <v>115.13901113827147</v>
      </c>
    </row>
    <row r="20" spans="1:17" ht="12.75">
      <c r="A20" s="170" t="s">
        <v>30</v>
      </c>
      <c r="B20" s="337">
        <f>UR08!F85</f>
        <v>771</v>
      </c>
      <c r="C20" s="359">
        <f>'HV-HC orig'!O17+'HV-HC orig'!O18</f>
        <v>657.41</v>
      </c>
      <c r="D20" s="168">
        <f>B20-C20</f>
        <v>113.59000000000003</v>
      </c>
      <c r="E20" s="162">
        <f>(C20/B20)*100</f>
        <v>85.26718547341116</v>
      </c>
      <c r="F20" s="337">
        <f>UR08!G85</f>
        <v>29</v>
      </c>
      <c r="G20" s="359">
        <f>'HV-HC orig'!O19</f>
        <v>29.18</v>
      </c>
      <c r="H20" s="168">
        <f>F20-G20</f>
        <v>-0.17999999999999972</v>
      </c>
      <c r="I20" s="162">
        <f>(G20/F20)*100</f>
        <v>100.62068965517241</v>
      </c>
      <c r="J20" s="337">
        <f>UR08!J85+UR08!M85</f>
        <v>3105</v>
      </c>
      <c r="K20" s="359">
        <f>'HV-HC orig'!O38+'HV-HC orig'!O67-'HV-HC orig'!O16-'HV-HC orig'!O17-'HV-HC orig'!O18-'HV-HC orig'!O19</f>
        <v>2841.0699999999997</v>
      </c>
      <c r="L20" s="168">
        <f t="shared" si="4"/>
        <v>263.9300000000003</v>
      </c>
      <c r="M20" s="162">
        <f t="shared" si="5"/>
        <v>91.49983896940418</v>
      </c>
      <c r="N20" s="167">
        <f t="shared" si="6"/>
        <v>3905</v>
      </c>
      <c r="O20" s="168">
        <f t="shared" si="7"/>
        <v>3527.66</v>
      </c>
      <c r="P20" s="168">
        <f t="shared" si="8"/>
        <v>377.34000000000015</v>
      </c>
      <c r="Q20" s="162">
        <f t="shared" si="9"/>
        <v>90.33700384122919</v>
      </c>
    </row>
    <row r="21" spans="1:17" ht="12.75">
      <c r="A21" s="170" t="s">
        <v>16</v>
      </c>
      <c r="B21" s="338">
        <f>UR08!F88</f>
        <v>0</v>
      </c>
      <c r="C21" s="360">
        <f>'HV-HC orig'!P17+'HV-HC orig'!P18</f>
        <v>575.18</v>
      </c>
      <c r="D21" s="168">
        <f>B21-C21</f>
        <v>-575.18</v>
      </c>
      <c r="E21" s="162"/>
      <c r="F21" s="337">
        <f>UR08!G88</f>
        <v>0</v>
      </c>
      <c r="G21" s="359">
        <f>'HV-HC orig'!P19</f>
        <v>32.57</v>
      </c>
      <c r="H21" s="168">
        <f>F21-G21</f>
        <v>-32.57</v>
      </c>
      <c r="I21" s="162"/>
      <c r="J21" s="338">
        <f>UR08!J88+UR08!M88</f>
        <v>4392.83</v>
      </c>
      <c r="K21" s="360">
        <f>'HV-HC orig'!P38+'HV-HC orig'!P67-'HV-HC orig'!P16-'HV-HC orig'!P17-'HV-HC orig'!P18-'HV-HC orig'!P19</f>
        <v>2544.9999999999986</v>
      </c>
      <c r="L21" s="172">
        <f t="shared" si="4"/>
        <v>1847.8300000000013</v>
      </c>
      <c r="M21" s="162">
        <f t="shared" si="5"/>
        <v>57.935317323911896</v>
      </c>
      <c r="N21" s="171">
        <f t="shared" si="6"/>
        <v>4392.83</v>
      </c>
      <c r="O21" s="172">
        <f t="shared" si="7"/>
        <v>3152.7499999999986</v>
      </c>
      <c r="P21" s="172">
        <f t="shared" si="8"/>
        <v>1240.0800000000013</v>
      </c>
      <c r="Q21" s="162">
        <f t="shared" si="9"/>
        <v>71.77036215833526</v>
      </c>
    </row>
    <row r="22" spans="1:17" ht="13.5" thickBot="1">
      <c r="A22" s="173" t="s">
        <v>17</v>
      </c>
      <c r="B22" s="338">
        <f>UR08!F90</f>
        <v>996</v>
      </c>
      <c r="C22" s="360">
        <f>'HV-HC orig'!Q17+'HV-HC orig'!Q18</f>
        <v>895.65</v>
      </c>
      <c r="D22" s="172">
        <f>B22-C22</f>
        <v>100.35000000000002</v>
      </c>
      <c r="E22" s="174">
        <f>(C22/B22)*100</f>
        <v>89.92469879518072</v>
      </c>
      <c r="F22" s="338">
        <f>UR08!G90</f>
        <v>48</v>
      </c>
      <c r="G22" s="360">
        <f>'HV-HC orig'!Q19</f>
        <v>47.68</v>
      </c>
      <c r="H22" s="172">
        <f>F22-G22</f>
        <v>0.3200000000000003</v>
      </c>
      <c r="I22" s="174">
        <f>(G22/F22)*100</f>
        <v>99.33333333333333</v>
      </c>
      <c r="J22" s="338">
        <f>UR08!J90+UR08!M90</f>
        <v>9434</v>
      </c>
      <c r="K22" s="360">
        <f>'HV-HC orig'!Q38+'HV-HC orig'!Q67-'HV-HC orig'!Q16-'HV-HC orig'!Q17-'HV-HC orig'!Q18-'HV-HC orig'!Q19</f>
        <v>10617.439999999999</v>
      </c>
      <c r="L22" s="172">
        <f t="shared" si="4"/>
        <v>-1183.4399999999987</v>
      </c>
      <c r="M22" s="174">
        <f t="shared" si="5"/>
        <v>112.54441382234471</v>
      </c>
      <c r="N22" s="171">
        <f t="shared" si="6"/>
        <v>10478</v>
      </c>
      <c r="O22" s="172">
        <f t="shared" si="7"/>
        <v>11560.769999999999</v>
      </c>
      <c r="P22" s="172">
        <f t="shared" si="8"/>
        <v>-1082.7699999999986</v>
      </c>
      <c r="Q22" s="174">
        <f t="shared" si="9"/>
        <v>110.333746898263</v>
      </c>
    </row>
    <row r="23" spans="1:17" ht="16.5" thickBot="1">
      <c r="A23" s="175" t="s">
        <v>211</v>
      </c>
      <c r="B23" s="176">
        <f>SUM(B9:B22)</f>
        <v>93628.171</v>
      </c>
      <c r="C23" s="361">
        <f>SUM(C9:C22)</f>
        <v>97750.11999999998</v>
      </c>
      <c r="D23" s="177">
        <f>SUM(D9:D22)</f>
        <v>-4121.949</v>
      </c>
      <c r="E23" s="178">
        <f>(C23/B23)*100</f>
        <v>104.40246664649679</v>
      </c>
      <c r="F23" s="176">
        <f>SUM(F9:F22)</f>
        <v>4026.642</v>
      </c>
      <c r="G23" s="361">
        <f>SUM(G9:G22)</f>
        <v>4399.450000000001</v>
      </c>
      <c r="H23" s="177">
        <f>SUM(H9:H22)+0.5</f>
        <v>-372.30800000000005</v>
      </c>
      <c r="I23" s="178">
        <f>(G23/F23)*100</f>
        <v>109.25853353737433</v>
      </c>
      <c r="J23" s="176">
        <f>SUM(J9:J22)</f>
        <v>531663.169</v>
      </c>
      <c r="K23" s="361">
        <f>SUM(K9:K22)</f>
        <v>1046337.7799999997</v>
      </c>
      <c r="L23" s="177">
        <f>SUM(L9:L22)</f>
        <v>-514674.61099999986</v>
      </c>
      <c r="M23" s="178">
        <f t="shared" si="5"/>
        <v>196.80463891603515</v>
      </c>
      <c r="N23" s="176">
        <f>SUM(N9:N22)</f>
        <v>629317.982</v>
      </c>
      <c r="O23" s="177">
        <f>SUM(O9:O22)</f>
        <v>1148487.3499999996</v>
      </c>
      <c r="P23" s="177">
        <f>SUM(P9:P22)</f>
        <v>-519169.3679999997</v>
      </c>
      <c r="Q23" s="178">
        <f t="shared" si="9"/>
        <v>182.49714498067524</v>
      </c>
    </row>
    <row r="30" ht="12.75">
      <c r="F30" s="150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22"/>
  <sheetViews>
    <sheetView zoomScale="85" zoomScaleNormal="85" workbookViewId="0" topLeftCell="A1">
      <selection activeCell="I25" sqref="I25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7109375" style="0" customWidth="1"/>
    <col min="4" max="4" width="10.140625" style="0" customWidth="1"/>
    <col min="5" max="5" width="9.28125" style="0" customWidth="1"/>
    <col min="7" max="7" width="10.140625" style="0" customWidth="1"/>
    <col min="9" max="9" width="14.00390625" style="0" customWidth="1"/>
    <col min="11" max="11" width="10.140625" style="0" customWidth="1"/>
  </cols>
  <sheetData>
    <row r="1" ht="15.75">
      <c r="K1" s="2" t="s">
        <v>492</v>
      </c>
    </row>
    <row r="2" ht="12.75">
      <c r="B2" s="112" t="s">
        <v>319</v>
      </c>
    </row>
    <row r="3" ht="12.75">
      <c r="B3" s="112"/>
    </row>
    <row r="4" ht="12.75">
      <c r="B4" s="112"/>
    </row>
    <row r="5" ht="13.5" thickBot="1">
      <c r="K5" t="s">
        <v>1</v>
      </c>
    </row>
    <row r="6" spans="2:12" ht="12.75" customHeight="1">
      <c r="B6" s="451" t="s">
        <v>167</v>
      </c>
      <c r="C6" s="453" t="s">
        <v>191</v>
      </c>
      <c r="D6" s="450"/>
      <c r="E6" s="447" t="s">
        <v>192</v>
      </c>
      <c r="F6" s="449" t="s">
        <v>193</v>
      </c>
      <c r="G6" s="450"/>
      <c r="H6" s="447" t="s">
        <v>192</v>
      </c>
      <c r="I6" s="454" t="s">
        <v>194</v>
      </c>
      <c r="J6" s="449" t="s">
        <v>195</v>
      </c>
      <c r="K6" s="450"/>
      <c r="L6" s="447" t="s">
        <v>192</v>
      </c>
    </row>
    <row r="7" spans="2:12" ht="13.5" thickBot="1">
      <c r="B7" s="452"/>
      <c r="C7" s="125" t="s">
        <v>196</v>
      </c>
      <c r="D7" s="126" t="s">
        <v>197</v>
      </c>
      <c r="E7" s="448"/>
      <c r="F7" s="127" t="s">
        <v>196</v>
      </c>
      <c r="G7" s="126" t="s">
        <v>197</v>
      </c>
      <c r="H7" s="448"/>
      <c r="I7" s="455"/>
      <c r="J7" s="127" t="s">
        <v>196</v>
      </c>
      <c r="K7" s="126" t="s">
        <v>197</v>
      </c>
      <c r="L7" s="448"/>
    </row>
    <row r="8" spans="1:16" ht="12.75">
      <c r="A8" t="s">
        <v>174</v>
      </c>
      <c r="B8" s="128" t="s">
        <v>4</v>
      </c>
      <c r="C8" s="236">
        <v>1750</v>
      </c>
      <c r="D8" s="236">
        <f>'HV-HC orig'!D39+'HV-HC orig'!D40+'HV-HC orig'!D53+'HV-HC orig'!D54</f>
        <v>3302.1800000000003</v>
      </c>
      <c r="E8" s="131">
        <f aca="true" t="shared" si="0" ref="E8:E21">D8-C8</f>
        <v>1552.1800000000003</v>
      </c>
      <c r="F8" s="132">
        <f>100+268</f>
        <v>368</v>
      </c>
      <c r="G8" s="129">
        <f>'HV-HC orig'!D56</f>
        <v>634.2</v>
      </c>
      <c r="H8" s="131">
        <f aca="true" t="shared" si="1" ref="H8:H21">G8-F8</f>
        <v>266.20000000000005</v>
      </c>
      <c r="I8" s="130">
        <f>'HV-HC orig'!D55</f>
        <v>3566.73</v>
      </c>
      <c r="J8" s="132">
        <f aca="true" t="shared" si="2" ref="J8:J21">SUM(C8+F8)</f>
        <v>2118</v>
      </c>
      <c r="K8" s="130">
        <f aca="true" t="shared" si="3" ref="K8:K21">SUM(D8+G8+I8)</f>
        <v>7503.110000000001</v>
      </c>
      <c r="L8" s="131">
        <f aca="true" t="shared" si="4" ref="L8:L21">K8-J8</f>
        <v>5385.110000000001</v>
      </c>
      <c r="O8" s="133"/>
      <c r="P8" s="133"/>
    </row>
    <row r="9" spans="1:16" ht="12.75">
      <c r="A9" t="s">
        <v>175</v>
      </c>
      <c r="B9" s="134" t="s">
        <v>5</v>
      </c>
      <c r="C9" s="118"/>
      <c r="D9" s="118">
        <f>'HV-HC orig'!E39+'HV-HC orig'!E40+'HV-HC orig'!E53+'HV-HC orig'!E54</f>
        <v>238.71</v>
      </c>
      <c r="E9" s="136">
        <f t="shared" si="0"/>
        <v>238.71</v>
      </c>
      <c r="F9" s="137">
        <f>200+31161</f>
        <v>31361</v>
      </c>
      <c r="G9" s="135">
        <f>'HV-HC orig'!E56</f>
        <v>381.26</v>
      </c>
      <c r="H9" s="138">
        <f t="shared" si="1"/>
        <v>-30979.74</v>
      </c>
      <c r="I9" s="137">
        <f>'HV-HC orig'!E55</f>
        <v>6351.88</v>
      </c>
      <c r="J9" s="139">
        <f t="shared" si="2"/>
        <v>31361</v>
      </c>
      <c r="K9" s="130">
        <f t="shared" si="3"/>
        <v>6971.85</v>
      </c>
      <c r="L9" s="138">
        <f t="shared" si="4"/>
        <v>-24389.15</v>
      </c>
      <c r="O9" s="133"/>
      <c r="P9" s="133"/>
    </row>
    <row r="10" spans="1:16" ht="12.75">
      <c r="A10" t="s">
        <v>176</v>
      </c>
      <c r="B10" s="134" t="s">
        <v>177</v>
      </c>
      <c r="C10" s="118">
        <v>50</v>
      </c>
      <c r="D10" s="118">
        <f>'HV-HC orig'!F39+'HV-HC orig'!F40+'HV-HC orig'!F53+'HV-HC orig'!F54</f>
        <v>219.1</v>
      </c>
      <c r="E10" s="136">
        <f t="shared" si="0"/>
        <v>169.1</v>
      </c>
      <c r="F10" s="137"/>
      <c r="G10" s="238">
        <f>'HV-HC orig'!F56</f>
        <v>74.37</v>
      </c>
      <c r="H10" s="136">
        <f t="shared" si="1"/>
        <v>74.37</v>
      </c>
      <c r="I10" s="115">
        <f>'HV-HC orig'!F55</f>
        <v>0</v>
      </c>
      <c r="J10" s="139">
        <f t="shared" si="2"/>
        <v>50</v>
      </c>
      <c r="K10" s="130">
        <f t="shared" si="3"/>
        <v>293.47</v>
      </c>
      <c r="L10" s="138">
        <f t="shared" si="4"/>
        <v>243.47000000000003</v>
      </c>
      <c r="O10" s="133"/>
      <c r="P10" s="133"/>
    </row>
    <row r="11" spans="1:16" ht="12.75">
      <c r="A11" t="s">
        <v>178</v>
      </c>
      <c r="B11" s="134" t="s">
        <v>7</v>
      </c>
      <c r="C11" s="118">
        <f>3000+9200</f>
        <v>12200</v>
      </c>
      <c r="D11" s="118">
        <f>'HV-HC orig'!G39+'HV-HC orig'!G40+'HV-HC orig'!G53+'HV-HC orig'!G54</f>
        <v>1330.6399999999999</v>
      </c>
      <c r="E11" s="136">
        <f t="shared" si="0"/>
        <v>-10869.36</v>
      </c>
      <c r="F11" s="137">
        <f>600+1500</f>
        <v>2100</v>
      </c>
      <c r="G11" s="140">
        <f>'HV-HC orig'!G56</f>
        <v>15210.44</v>
      </c>
      <c r="H11" s="136">
        <f t="shared" si="1"/>
        <v>13110.44</v>
      </c>
      <c r="I11" s="115">
        <f>'HV-HC orig'!G55</f>
        <v>7743.58</v>
      </c>
      <c r="J11" s="139">
        <f t="shared" si="2"/>
        <v>14300</v>
      </c>
      <c r="K11" s="130">
        <f t="shared" si="3"/>
        <v>24284.660000000003</v>
      </c>
      <c r="L11" s="138">
        <f t="shared" si="4"/>
        <v>9984.660000000003</v>
      </c>
      <c r="O11" s="133"/>
      <c r="P11" s="133"/>
    </row>
    <row r="12" spans="1:16" ht="12.75">
      <c r="A12" t="s">
        <v>179</v>
      </c>
      <c r="B12" s="134" t="s">
        <v>8</v>
      </c>
      <c r="C12" s="118">
        <f>1700+708</f>
        <v>2408</v>
      </c>
      <c r="D12" s="118">
        <f>'HV-HC orig'!H39+'HV-HC orig'!H40+'HV-HC orig'!H53+'HV-HC orig'!H54</f>
        <v>6994.67</v>
      </c>
      <c r="E12" s="136">
        <f t="shared" si="0"/>
        <v>4586.67</v>
      </c>
      <c r="F12" s="137">
        <v>900</v>
      </c>
      <c r="G12" s="120">
        <f>'HV-HC orig'!H56</f>
        <v>44.38</v>
      </c>
      <c r="H12" s="136">
        <f t="shared" si="1"/>
        <v>-855.62</v>
      </c>
      <c r="I12" s="115">
        <f>'HV-HC orig'!H55</f>
        <v>20030.16</v>
      </c>
      <c r="J12" s="139">
        <f t="shared" si="2"/>
        <v>3308</v>
      </c>
      <c r="K12" s="130">
        <f t="shared" si="3"/>
        <v>27069.21</v>
      </c>
      <c r="L12" s="138">
        <f t="shared" si="4"/>
        <v>23761.21</v>
      </c>
      <c r="O12" s="133"/>
      <c r="P12" s="133"/>
    </row>
    <row r="13" spans="1:16" ht="12.75">
      <c r="A13" t="s">
        <v>180</v>
      </c>
      <c r="B13" s="134" t="s">
        <v>9</v>
      </c>
      <c r="C13" s="118">
        <v>50</v>
      </c>
      <c r="D13" s="118">
        <f>'HV-HC orig'!I39+'HV-HC orig'!I40+'HV-HC orig'!I53+'HV-HC orig'!I54</f>
        <v>442.43</v>
      </c>
      <c r="E13" s="136">
        <f t="shared" si="0"/>
        <v>392.43</v>
      </c>
      <c r="F13" s="137">
        <v>900</v>
      </c>
      <c r="G13" s="135">
        <f>'HV-HC orig'!I56</f>
        <v>8.55</v>
      </c>
      <c r="H13" s="136">
        <f t="shared" si="1"/>
        <v>-891.45</v>
      </c>
      <c r="I13" s="115">
        <f>'HV-HC orig'!I55</f>
        <v>3909.56</v>
      </c>
      <c r="J13" s="139">
        <f t="shared" si="2"/>
        <v>950</v>
      </c>
      <c r="K13" s="130">
        <f t="shared" si="3"/>
        <v>4360.54</v>
      </c>
      <c r="L13" s="138">
        <f t="shared" si="4"/>
        <v>3410.54</v>
      </c>
      <c r="O13" s="133"/>
      <c r="P13" s="133"/>
    </row>
    <row r="14" spans="1:16" ht="12.75">
      <c r="A14" t="s">
        <v>181</v>
      </c>
      <c r="B14" s="134" t="s">
        <v>10</v>
      </c>
      <c r="C14" s="118">
        <v>60</v>
      </c>
      <c r="D14" s="118">
        <f>'HV-HC orig'!J39+'HV-HC orig'!J40+'HV-HC orig'!J53+'HV-HC orig'!J54</f>
        <v>113.48</v>
      </c>
      <c r="E14" s="136">
        <f t="shared" si="0"/>
        <v>53.480000000000004</v>
      </c>
      <c r="F14" s="137"/>
      <c r="G14" s="238">
        <f>'HV-HC orig'!J56</f>
        <v>0</v>
      </c>
      <c r="H14" s="136">
        <f t="shared" si="1"/>
        <v>0</v>
      </c>
      <c r="I14" s="115">
        <f>'HV-HC orig'!J55</f>
        <v>0</v>
      </c>
      <c r="J14" s="139">
        <f t="shared" si="2"/>
        <v>60</v>
      </c>
      <c r="K14" s="130">
        <f t="shared" si="3"/>
        <v>113.48</v>
      </c>
      <c r="L14" s="138">
        <f t="shared" si="4"/>
        <v>53.480000000000004</v>
      </c>
      <c r="O14" s="133"/>
      <c r="P14" s="133"/>
    </row>
    <row r="15" spans="1:16" s="179" customFormat="1" ht="12.75">
      <c r="A15" s="179" t="s">
        <v>182</v>
      </c>
      <c r="B15" s="435" t="s">
        <v>11</v>
      </c>
      <c r="C15" s="436">
        <f>7685+2538</f>
        <v>10223</v>
      </c>
      <c r="D15" s="436">
        <f>'HV-HC orig'!K39+'HV-HC orig'!K40+'HV-HC orig'!K53+'HV-HC orig'!K54</f>
        <v>3297.33</v>
      </c>
      <c r="E15" s="437">
        <f t="shared" si="0"/>
        <v>-6925.67</v>
      </c>
      <c r="F15" s="438">
        <f>240+660+400+5844</f>
        <v>7144</v>
      </c>
      <c r="G15" s="238">
        <f>'HV-HC orig'!K56</f>
        <v>3602.43</v>
      </c>
      <c r="H15" s="437">
        <f t="shared" si="1"/>
        <v>-3541.57</v>
      </c>
      <c r="I15" s="236">
        <f>'HV-HC orig'!K55</f>
        <v>69091.46</v>
      </c>
      <c r="J15" s="439">
        <f t="shared" si="2"/>
        <v>17367</v>
      </c>
      <c r="K15" s="264">
        <f t="shared" si="3"/>
        <v>75991.22</v>
      </c>
      <c r="L15" s="440">
        <f t="shared" si="4"/>
        <v>58624.22</v>
      </c>
      <c r="O15" s="434"/>
      <c r="P15" s="434"/>
    </row>
    <row r="16" spans="1:16" ht="12.75">
      <c r="A16" t="s">
        <v>183</v>
      </c>
      <c r="B16" s="134" t="s">
        <v>12</v>
      </c>
      <c r="C16" s="120">
        <f>1895+47</f>
        <v>1942</v>
      </c>
      <c r="D16" s="120">
        <f>'HV-HC orig'!L39+'HV-HC orig'!L40+'HV-HC orig'!L53+'HV-HC orig'!L54</f>
        <v>2301.4700000000003</v>
      </c>
      <c r="E16" s="136">
        <f t="shared" si="0"/>
        <v>359.47000000000025</v>
      </c>
      <c r="F16" s="137">
        <f>424+3500</f>
        <v>3924</v>
      </c>
      <c r="G16" s="135">
        <f>'HV-HC orig'!L56</f>
        <v>609.51</v>
      </c>
      <c r="H16" s="136">
        <f t="shared" si="1"/>
        <v>-3314.49</v>
      </c>
      <c r="I16" s="115">
        <f>'HV-HC orig'!L55</f>
        <v>785.13</v>
      </c>
      <c r="J16" s="139">
        <f t="shared" si="2"/>
        <v>5866</v>
      </c>
      <c r="K16" s="130">
        <f t="shared" si="3"/>
        <v>3696.1100000000006</v>
      </c>
      <c r="L16" s="138">
        <f t="shared" si="4"/>
        <v>-2169.8899999999994</v>
      </c>
      <c r="O16" s="133"/>
      <c r="P16" s="133"/>
    </row>
    <row r="17" spans="1:16" ht="12.75">
      <c r="A17" t="s">
        <v>184</v>
      </c>
      <c r="B17" s="134" t="s">
        <v>13</v>
      </c>
      <c r="C17" s="120"/>
      <c r="D17" s="120">
        <f>'HV-HC orig'!M39+'HV-HC orig'!M40+'HV-HC orig'!M53+'HV-HC orig'!M54</f>
        <v>625.79</v>
      </c>
      <c r="E17" s="136">
        <f t="shared" si="0"/>
        <v>625.79</v>
      </c>
      <c r="F17" s="137">
        <v>120</v>
      </c>
      <c r="G17" s="135">
        <f>'HV-HC orig'!M56</f>
        <v>784.24</v>
      </c>
      <c r="H17" s="136">
        <f t="shared" si="1"/>
        <v>664.24</v>
      </c>
      <c r="I17" s="115">
        <f>'HV-HC orig'!M55</f>
        <v>0</v>
      </c>
      <c r="J17" s="139">
        <f t="shared" si="2"/>
        <v>120</v>
      </c>
      <c r="K17" s="130">
        <f t="shared" si="3"/>
        <v>1410.03</v>
      </c>
      <c r="L17" s="138">
        <f t="shared" si="4"/>
        <v>1290.03</v>
      </c>
      <c r="O17" s="133"/>
      <c r="P17" s="133"/>
    </row>
    <row r="18" spans="1:16" ht="12.75">
      <c r="A18" t="s">
        <v>185</v>
      </c>
      <c r="B18" s="134" t="s">
        <v>14</v>
      </c>
      <c r="C18" s="118">
        <f>20680+2382</f>
        <v>23062</v>
      </c>
      <c r="D18" s="118">
        <f>'HV-HC orig'!N39+'HV-HC orig'!N40+'HV-HC orig'!N53+'HV-HC orig'!N54</f>
        <v>24328.29</v>
      </c>
      <c r="E18" s="136">
        <f t="shared" si="0"/>
        <v>1266.2900000000009</v>
      </c>
      <c r="F18" s="137">
        <f>6000+62</f>
        <v>6062</v>
      </c>
      <c r="G18" s="135">
        <f>'HV-HC orig'!N56</f>
        <v>1623.86</v>
      </c>
      <c r="H18" s="136">
        <f t="shared" si="1"/>
        <v>-4438.14</v>
      </c>
      <c r="I18" s="115">
        <f>'HV-HC orig'!N55</f>
        <v>16118.18</v>
      </c>
      <c r="J18" s="139">
        <f t="shared" si="2"/>
        <v>29124</v>
      </c>
      <c r="K18" s="130">
        <f t="shared" si="3"/>
        <v>42070.33</v>
      </c>
      <c r="L18" s="138">
        <f t="shared" si="4"/>
        <v>12946.330000000002</v>
      </c>
      <c r="O18" s="133"/>
      <c r="P18" s="133"/>
    </row>
    <row r="19" spans="1:16" ht="12.75">
      <c r="A19" t="s">
        <v>186</v>
      </c>
      <c r="B19" s="134" t="s">
        <v>30</v>
      </c>
      <c r="C19" s="118">
        <v>850</v>
      </c>
      <c r="D19" s="118">
        <f>'HV-HC orig'!O39+'HV-HC orig'!O40+'HV-HC orig'!O53+'HV-HC orig'!O54</f>
        <v>878.22</v>
      </c>
      <c r="E19" s="136">
        <f t="shared" si="0"/>
        <v>28.220000000000027</v>
      </c>
      <c r="F19" s="137">
        <f>150+10</f>
        <v>160</v>
      </c>
      <c r="G19" s="135">
        <f>'HV-HC orig'!O56</f>
        <v>35.91</v>
      </c>
      <c r="H19" s="136">
        <f t="shared" si="1"/>
        <v>-124.09</v>
      </c>
      <c r="I19" s="115">
        <f>'HV-HC orig'!O55</f>
        <v>102.93</v>
      </c>
      <c r="J19" s="139">
        <f t="shared" si="2"/>
        <v>1010</v>
      </c>
      <c r="K19" s="130">
        <f>SUM(D19+G19+I19)</f>
        <v>1017.06</v>
      </c>
      <c r="L19" s="138">
        <f t="shared" si="4"/>
        <v>7.059999999999945</v>
      </c>
      <c r="O19" s="133"/>
      <c r="P19" s="133"/>
    </row>
    <row r="20" spans="1:16" ht="12.75">
      <c r="A20" t="s">
        <v>187</v>
      </c>
      <c r="B20" s="134" t="s">
        <v>16</v>
      </c>
      <c r="C20" s="262">
        <v>3200</v>
      </c>
      <c r="D20" s="262">
        <f>'HV-HC orig'!P39+'HV-HC orig'!P40+'HV-HC orig'!P53+'HV-HC orig'!P54</f>
        <v>3023.41</v>
      </c>
      <c r="E20" s="136">
        <f t="shared" si="0"/>
        <v>-176.59000000000015</v>
      </c>
      <c r="F20" s="137">
        <v>400</v>
      </c>
      <c r="G20" s="135">
        <f>'HV-HC orig'!P56</f>
        <v>442.29</v>
      </c>
      <c r="H20" s="136">
        <f t="shared" si="1"/>
        <v>42.29000000000002</v>
      </c>
      <c r="I20" s="115">
        <f>'HV-HC orig'!P55</f>
        <v>451.74</v>
      </c>
      <c r="J20" s="139">
        <f>SUM(C20+F20)</f>
        <v>3600</v>
      </c>
      <c r="K20" s="130">
        <f>SUM(D20+G20+I20)</f>
        <v>3917.4399999999996</v>
      </c>
      <c r="L20" s="138">
        <f t="shared" si="4"/>
        <v>317.4399999999996</v>
      </c>
      <c r="O20" s="133"/>
      <c r="P20" s="133"/>
    </row>
    <row r="21" spans="1:16" ht="12.75">
      <c r="A21" t="s">
        <v>188</v>
      </c>
      <c r="B21" s="134" t="s">
        <v>17</v>
      </c>
      <c r="C21" s="118">
        <v>1000</v>
      </c>
      <c r="D21" s="118">
        <f>'HV-HC orig'!Q39+'HV-HC orig'!Q40+'HV-HC orig'!Q53+'HV-HC orig'!Q54</f>
        <v>934.69</v>
      </c>
      <c r="E21" s="136">
        <f t="shared" si="0"/>
        <v>-65.30999999999995</v>
      </c>
      <c r="F21" s="137"/>
      <c r="G21" s="135">
        <f>'HV-HC orig'!Q56</f>
        <v>1148.08</v>
      </c>
      <c r="H21" s="136">
        <f t="shared" si="1"/>
        <v>1148.08</v>
      </c>
      <c r="I21" s="115">
        <f>'HV-HC orig'!Q55</f>
        <v>0</v>
      </c>
      <c r="J21" s="139">
        <f t="shared" si="2"/>
        <v>1000</v>
      </c>
      <c r="K21" s="130">
        <f t="shared" si="3"/>
        <v>2082.77</v>
      </c>
      <c r="L21" s="138">
        <f t="shared" si="4"/>
        <v>1082.77</v>
      </c>
      <c r="O21" s="133"/>
      <c r="P21" s="133"/>
    </row>
    <row r="22" spans="2:15" ht="13.5" thickBot="1">
      <c r="B22" s="141" t="s">
        <v>189</v>
      </c>
      <c r="C22" s="142">
        <f aca="true" t="shared" si="5" ref="C22:L22">SUM(C8:C21)</f>
        <v>56795</v>
      </c>
      <c r="D22" s="123">
        <f t="shared" si="5"/>
        <v>48030.41</v>
      </c>
      <c r="E22" s="124">
        <f t="shared" si="5"/>
        <v>-8764.59</v>
      </c>
      <c r="F22" s="143">
        <f t="shared" si="5"/>
        <v>53439</v>
      </c>
      <c r="G22" s="123">
        <f t="shared" si="5"/>
        <v>24599.519999999997</v>
      </c>
      <c r="H22" s="124">
        <f t="shared" si="5"/>
        <v>-28839.479999999996</v>
      </c>
      <c r="I22" s="123">
        <f t="shared" si="5"/>
        <v>128151.35000000002</v>
      </c>
      <c r="J22" s="144">
        <f>SUM(J8:J21)</f>
        <v>110234</v>
      </c>
      <c r="K22" s="123">
        <f t="shared" si="5"/>
        <v>200781.27999999994</v>
      </c>
      <c r="L22" s="124">
        <f t="shared" si="5"/>
        <v>90547.28000000001</v>
      </c>
      <c r="O22" s="133"/>
    </row>
  </sheetData>
  <mergeCells count="8">
    <mergeCell ref="L6:L7"/>
    <mergeCell ref="F6:G6"/>
    <mergeCell ref="H6:H7"/>
    <mergeCell ref="B6:B7"/>
    <mergeCell ref="C6:D6"/>
    <mergeCell ref="E6:E7"/>
    <mergeCell ref="J6:K6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22"/>
  <sheetViews>
    <sheetView zoomScale="80" zoomScaleNormal="80" workbookViewId="0" topLeftCell="A1">
      <selection activeCell="J24" sqref="J24"/>
    </sheetView>
  </sheetViews>
  <sheetFormatPr defaultColWidth="9.140625" defaultRowHeight="12.75"/>
  <cols>
    <col min="1" max="1" width="5.140625" style="0" customWidth="1"/>
    <col min="2" max="2" width="18.421875" style="0" customWidth="1"/>
    <col min="3" max="3" width="11.8515625" style="0" customWidth="1"/>
    <col min="4" max="4" width="9.8515625" style="0" customWidth="1"/>
    <col min="5" max="6" width="11.57421875" style="0" customWidth="1"/>
    <col min="7" max="7" width="10.7109375" style="0" customWidth="1"/>
    <col min="9" max="9" width="16.140625" style="0" customWidth="1"/>
  </cols>
  <sheetData>
    <row r="1" ht="15.75">
      <c r="I1" s="2" t="s">
        <v>493</v>
      </c>
    </row>
    <row r="3" ht="12.75">
      <c r="B3" s="112" t="s">
        <v>320</v>
      </c>
    </row>
    <row r="4" ht="12.75">
      <c r="B4" s="112"/>
    </row>
    <row r="5" ht="13.5" thickBot="1">
      <c r="G5" t="s">
        <v>1</v>
      </c>
    </row>
    <row r="6" spans="2:9" ht="12.75" customHeight="1">
      <c r="B6" s="458" t="s">
        <v>167</v>
      </c>
      <c r="C6" s="460" t="s">
        <v>168</v>
      </c>
      <c r="D6" s="461"/>
      <c r="E6" s="460" t="s">
        <v>169</v>
      </c>
      <c r="F6" s="461"/>
      <c r="G6" s="460" t="s">
        <v>170</v>
      </c>
      <c r="H6" s="461"/>
      <c r="I6" s="456" t="s">
        <v>171</v>
      </c>
    </row>
    <row r="7" spans="2:9" ht="25.5">
      <c r="B7" s="459"/>
      <c r="C7" s="113" t="s">
        <v>168</v>
      </c>
      <c r="D7" s="113" t="s">
        <v>172</v>
      </c>
      <c r="E7" s="113" t="s">
        <v>169</v>
      </c>
      <c r="F7" s="113" t="s">
        <v>172</v>
      </c>
      <c r="G7" s="113" t="s">
        <v>173</v>
      </c>
      <c r="H7" s="113" t="s">
        <v>172</v>
      </c>
      <c r="I7" s="457"/>
    </row>
    <row r="8" spans="1:9" ht="12.75">
      <c r="A8" t="s">
        <v>174</v>
      </c>
      <c r="B8" s="114" t="s">
        <v>4</v>
      </c>
      <c r="C8" s="129">
        <f>'HV-HC orig'!D66</f>
        <v>11075.940000000002</v>
      </c>
      <c r="D8" s="115"/>
      <c r="E8" s="115"/>
      <c r="F8" s="115"/>
      <c r="G8" s="115">
        <f aca="true" t="shared" si="0" ref="G8:G21">E8+C8</f>
        <v>11075.940000000002</v>
      </c>
      <c r="H8" s="115">
        <f aca="true" t="shared" si="1" ref="H8:H21">D8+F8</f>
        <v>0</v>
      </c>
      <c r="I8" s="116">
        <f aca="true" t="shared" si="2" ref="I8:I21">G8-H8</f>
        <v>11075.940000000002</v>
      </c>
    </row>
    <row r="9" spans="1:9" ht="12.75">
      <c r="A9" t="s">
        <v>175</v>
      </c>
      <c r="B9" s="117" t="s">
        <v>5</v>
      </c>
      <c r="C9" s="135">
        <f>'HV-HC orig'!E66</f>
        <v>18383.630000000005</v>
      </c>
      <c r="D9" s="118"/>
      <c r="E9" s="118">
        <f>'HV-JC orig'!D67</f>
        <v>7.689999999999827</v>
      </c>
      <c r="F9" s="118"/>
      <c r="G9" s="118">
        <f t="shared" si="0"/>
        <v>18391.320000000003</v>
      </c>
      <c r="H9" s="115">
        <f t="shared" si="1"/>
        <v>0</v>
      </c>
      <c r="I9" s="116">
        <f t="shared" si="2"/>
        <v>18391.320000000003</v>
      </c>
    </row>
    <row r="10" spans="1:9" ht="12.75">
      <c r="A10" t="s">
        <v>176</v>
      </c>
      <c r="B10" s="117" t="s">
        <v>177</v>
      </c>
      <c r="C10" s="238">
        <f>'HV-HC orig'!F66</f>
        <v>2846.2700000000004</v>
      </c>
      <c r="D10" s="118"/>
      <c r="E10" s="118">
        <f>'HV-JC orig'!E67</f>
        <v>451.13000000000005</v>
      </c>
      <c r="F10" s="118"/>
      <c r="G10" s="118">
        <f t="shared" si="0"/>
        <v>3297.4000000000005</v>
      </c>
      <c r="H10" s="115">
        <f t="shared" si="1"/>
        <v>0</v>
      </c>
      <c r="I10" s="116">
        <f t="shared" si="2"/>
        <v>3297.4000000000005</v>
      </c>
    </row>
    <row r="11" spans="1:9" ht="12.75">
      <c r="A11" t="s">
        <v>178</v>
      </c>
      <c r="B11" s="117" t="s">
        <v>7</v>
      </c>
      <c r="C11" s="140">
        <f>'HV-HC orig'!G66</f>
        <v>4317.819999999992</v>
      </c>
      <c r="D11" s="118">
        <f>'HV-HC orig'!G67</f>
        <v>1563.66</v>
      </c>
      <c r="E11" s="118">
        <f>'HV-JC orig'!F67</f>
        <v>14.250000000000455</v>
      </c>
      <c r="F11" s="118"/>
      <c r="G11" s="118">
        <f t="shared" si="0"/>
        <v>4332.069999999992</v>
      </c>
      <c r="H11" s="115">
        <f t="shared" si="1"/>
        <v>1563.66</v>
      </c>
      <c r="I11" s="116">
        <f t="shared" si="2"/>
        <v>2768.4099999999926</v>
      </c>
    </row>
    <row r="12" spans="1:9" ht="12.75">
      <c r="A12" t="s">
        <v>179</v>
      </c>
      <c r="B12" s="117" t="s">
        <v>8</v>
      </c>
      <c r="C12" s="120">
        <f>'HV-HC orig'!H66</f>
        <v>777.0299999999988</v>
      </c>
      <c r="D12" s="118">
        <f>'HV-HC orig'!H67</f>
        <v>122.75</v>
      </c>
      <c r="E12" s="118">
        <f>'HV-JC orig'!G67</f>
        <v>43.249999999999545</v>
      </c>
      <c r="F12" s="118">
        <f>'HV-JC orig'!G68</f>
        <v>23.84</v>
      </c>
      <c r="G12" s="118">
        <f t="shared" si="0"/>
        <v>820.2799999999984</v>
      </c>
      <c r="H12" s="115">
        <f t="shared" si="1"/>
        <v>146.59</v>
      </c>
      <c r="I12" s="116">
        <f t="shared" si="2"/>
        <v>673.6899999999983</v>
      </c>
    </row>
    <row r="13" spans="1:9" ht="12.75">
      <c r="A13" t="s">
        <v>180</v>
      </c>
      <c r="B13" s="117" t="s">
        <v>9</v>
      </c>
      <c r="C13" s="135">
        <f>'HV-HC orig'!I66</f>
        <v>967.7300000000105</v>
      </c>
      <c r="D13" s="118"/>
      <c r="E13" s="118">
        <f>'HV-JC orig'!H67</f>
        <v>142.89000000000004</v>
      </c>
      <c r="F13" s="118"/>
      <c r="G13" s="118">
        <f t="shared" si="0"/>
        <v>1110.6200000000106</v>
      </c>
      <c r="H13" s="115">
        <f t="shared" si="1"/>
        <v>0</v>
      </c>
      <c r="I13" s="116">
        <f t="shared" si="2"/>
        <v>1110.6200000000106</v>
      </c>
    </row>
    <row r="14" spans="1:9" ht="12.75">
      <c r="A14" t="s">
        <v>181</v>
      </c>
      <c r="B14" s="117" t="s">
        <v>10</v>
      </c>
      <c r="C14" s="238">
        <f>'HV-HC orig'!J66</f>
        <v>30.539999999999054</v>
      </c>
      <c r="D14" s="118"/>
      <c r="E14" s="118"/>
      <c r="F14" s="118"/>
      <c r="G14" s="118">
        <f t="shared" si="0"/>
        <v>30.539999999999054</v>
      </c>
      <c r="H14" s="115">
        <f t="shared" si="1"/>
        <v>0</v>
      </c>
      <c r="I14" s="116">
        <f t="shared" si="2"/>
        <v>30.539999999999054</v>
      </c>
    </row>
    <row r="15" spans="1:9" ht="12.75">
      <c r="A15" t="s">
        <v>182</v>
      </c>
      <c r="B15" s="119" t="s">
        <v>11</v>
      </c>
      <c r="C15" s="135">
        <f>'HV-HC orig'!K66</f>
        <v>389.3600000000006</v>
      </c>
      <c r="D15" s="120"/>
      <c r="E15" s="118">
        <f>'HV-JC orig'!I67</f>
        <v>14.529999999999745</v>
      </c>
      <c r="F15" s="118"/>
      <c r="G15" s="118">
        <f t="shared" si="0"/>
        <v>403.8900000000003</v>
      </c>
      <c r="H15" s="115">
        <f t="shared" si="1"/>
        <v>0</v>
      </c>
      <c r="I15" s="116">
        <f t="shared" si="2"/>
        <v>403.8900000000003</v>
      </c>
    </row>
    <row r="16" spans="1:9" ht="12.75">
      <c r="A16" t="s">
        <v>183</v>
      </c>
      <c r="B16" s="117" t="s">
        <v>12</v>
      </c>
      <c r="C16" s="135">
        <f>'HV-HC orig'!L66</f>
        <v>9735.04999999996</v>
      </c>
      <c r="D16" s="120"/>
      <c r="E16" s="118"/>
      <c r="F16" s="118"/>
      <c r="G16" s="118">
        <f t="shared" si="0"/>
        <v>9735.04999999996</v>
      </c>
      <c r="H16" s="115">
        <f t="shared" si="1"/>
        <v>0</v>
      </c>
      <c r="I16" s="116">
        <f t="shared" si="2"/>
        <v>9735.04999999996</v>
      </c>
    </row>
    <row r="17" spans="1:9" ht="12.75">
      <c r="A17" t="s">
        <v>184</v>
      </c>
      <c r="B17" s="117" t="s">
        <v>13</v>
      </c>
      <c r="C17" s="135">
        <f>'HV-HC orig'!M66</f>
        <v>45.039999999999054</v>
      </c>
      <c r="D17" s="120"/>
      <c r="E17" s="118"/>
      <c r="F17" s="118"/>
      <c r="G17" s="118">
        <f t="shared" si="0"/>
        <v>45.039999999999054</v>
      </c>
      <c r="H17" s="115">
        <f t="shared" si="1"/>
        <v>0</v>
      </c>
      <c r="I17" s="116">
        <f t="shared" si="2"/>
        <v>45.039999999999054</v>
      </c>
    </row>
    <row r="18" spans="1:9" ht="12.75">
      <c r="A18" t="s">
        <v>185</v>
      </c>
      <c r="B18" s="117" t="s">
        <v>14</v>
      </c>
      <c r="C18" s="135">
        <f>'HV-HC orig'!N66</f>
        <v>4446.370000000024</v>
      </c>
      <c r="D18" s="118">
        <f>'HV-HC orig'!N67</f>
        <v>232.56</v>
      </c>
      <c r="E18" s="118"/>
      <c r="F18" s="118"/>
      <c r="G18" s="118">
        <f t="shared" si="0"/>
        <v>4446.370000000024</v>
      </c>
      <c r="H18" s="115">
        <f t="shared" si="1"/>
        <v>232.56</v>
      </c>
      <c r="I18" s="116">
        <f t="shared" si="2"/>
        <v>4213.810000000024</v>
      </c>
    </row>
    <row r="19" spans="1:9" ht="12.75">
      <c r="A19" t="s">
        <v>186</v>
      </c>
      <c r="B19" s="117" t="s">
        <v>30</v>
      </c>
      <c r="C19" s="135">
        <f>'HV-HC orig'!O66</f>
        <v>476.1800000000003</v>
      </c>
      <c r="D19" s="118"/>
      <c r="E19" s="118"/>
      <c r="F19" s="118"/>
      <c r="G19" s="118">
        <f t="shared" si="0"/>
        <v>476.1800000000003</v>
      </c>
      <c r="H19" s="115">
        <f t="shared" si="1"/>
        <v>0</v>
      </c>
      <c r="I19" s="116">
        <f t="shared" si="2"/>
        <v>476.1800000000003</v>
      </c>
    </row>
    <row r="20" spans="1:9" ht="12.75">
      <c r="A20" t="s">
        <v>187</v>
      </c>
      <c r="B20" s="117" t="s">
        <v>16</v>
      </c>
      <c r="C20" s="135">
        <f>'HV-HC orig'!P66</f>
        <v>-110.74999999999909</v>
      </c>
      <c r="D20" s="121"/>
      <c r="E20" s="118">
        <f>'HV-JC orig'!J67</f>
        <v>16.629999999999654</v>
      </c>
      <c r="F20" s="118"/>
      <c r="G20" s="118">
        <f t="shared" si="0"/>
        <v>-94.11999999999944</v>
      </c>
      <c r="H20" s="115">
        <f t="shared" si="1"/>
        <v>0</v>
      </c>
      <c r="I20" s="116">
        <f t="shared" si="2"/>
        <v>-94.11999999999944</v>
      </c>
    </row>
    <row r="21" spans="1:9" ht="12.75">
      <c r="A21" t="s">
        <v>188</v>
      </c>
      <c r="B21" s="117" t="s">
        <v>17</v>
      </c>
      <c r="C21" s="135">
        <f>'HV-HC orig'!Q66</f>
        <v>0</v>
      </c>
      <c r="D21" s="118"/>
      <c r="E21" s="118"/>
      <c r="F21" s="118"/>
      <c r="G21" s="118">
        <f t="shared" si="0"/>
        <v>0</v>
      </c>
      <c r="H21" s="115">
        <f t="shared" si="1"/>
        <v>0</v>
      </c>
      <c r="I21" s="116">
        <f t="shared" si="2"/>
        <v>0</v>
      </c>
    </row>
    <row r="22" spans="2:9" ht="13.5" thickBot="1">
      <c r="B22" s="122" t="s">
        <v>189</v>
      </c>
      <c r="C22" s="123">
        <f aca="true" t="shared" si="3" ref="C22:I22">SUM(C8:C21)</f>
        <v>53380.21</v>
      </c>
      <c r="D22" s="123">
        <f t="shared" si="3"/>
        <v>1918.97</v>
      </c>
      <c r="E22" s="123">
        <f t="shared" si="3"/>
        <v>690.3699999999994</v>
      </c>
      <c r="F22" s="123">
        <f t="shared" si="3"/>
        <v>23.84</v>
      </c>
      <c r="G22" s="123">
        <f t="shared" si="3"/>
        <v>54070.57999999999</v>
      </c>
      <c r="H22" s="123">
        <f t="shared" si="3"/>
        <v>1942.81</v>
      </c>
      <c r="I22" s="124">
        <f t="shared" si="3"/>
        <v>52127.76999999999</v>
      </c>
    </row>
  </sheetData>
  <mergeCells count="5">
    <mergeCell ref="I6:I7"/>
    <mergeCell ref="B6:B7"/>
    <mergeCell ref="C6:D6"/>
    <mergeCell ref="E6:F6"/>
    <mergeCell ref="G6:H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69"/>
  <sheetViews>
    <sheetView zoomScale="75" zoomScaleNormal="75" workbookViewId="0" topLeftCell="A1">
      <selection activeCell="G51" sqref="G51"/>
    </sheetView>
  </sheetViews>
  <sheetFormatPr defaultColWidth="9.140625" defaultRowHeight="12.75"/>
  <cols>
    <col min="1" max="1" width="6.7109375" style="103" customWidth="1"/>
    <col min="2" max="2" width="43.140625" style="103" customWidth="1"/>
    <col min="3" max="3" width="7.140625" style="103" bestFit="1" customWidth="1"/>
    <col min="4" max="4" width="7.57421875" style="103" bestFit="1" customWidth="1"/>
    <col min="5" max="5" width="8.7109375" style="103" bestFit="1" customWidth="1"/>
    <col min="6" max="6" width="7.140625" style="103" customWidth="1"/>
    <col min="7" max="8" width="8.7109375" style="103" bestFit="1" customWidth="1"/>
    <col min="9" max="9" width="7.57421875" style="103" bestFit="1" customWidth="1"/>
    <col min="10" max="10" width="8.140625" style="103" bestFit="1" customWidth="1"/>
    <col min="11" max="12" width="8.7109375" style="103" bestFit="1" customWidth="1"/>
    <col min="13" max="13" width="7.57421875" style="103" bestFit="1" customWidth="1"/>
    <col min="14" max="14" width="8.7109375" style="103" bestFit="1" customWidth="1"/>
    <col min="15" max="15" width="6.8515625" style="103" bestFit="1" customWidth="1"/>
    <col min="16" max="16" width="7.7109375" style="103" customWidth="1"/>
    <col min="17" max="17" width="7.57421875" style="103" bestFit="1" customWidth="1"/>
    <col min="18" max="18" width="14.00390625" style="103" customWidth="1"/>
    <col min="19" max="19" width="8.8515625" style="103" bestFit="1" customWidth="1"/>
    <col min="20" max="16384" width="9.140625" style="103" customWidth="1"/>
  </cols>
  <sheetData>
    <row r="1" spans="17:18" ht="15.75">
      <c r="Q1" s="111"/>
      <c r="R1" s="2" t="s">
        <v>315</v>
      </c>
    </row>
    <row r="2" spans="1:19" ht="15.75">
      <c r="A2" s="104" t="s">
        <v>322</v>
      </c>
      <c r="B2" s="99"/>
      <c r="C2" s="99"/>
      <c r="D2" s="99"/>
      <c r="E2" s="99"/>
      <c r="F2" s="99"/>
      <c r="G2" s="99"/>
      <c r="H2" s="99"/>
      <c r="I2" s="99"/>
      <c r="J2" s="101"/>
      <c r="L2" s="101"/>
      <c r="M2" s="101"/>
      <c r="N2" s="101"/>
      <c r="O2" s="101"/>
      <c r="R2" s="101"/>
      <c r="S2" s="105"/>
    </row>
    <row r="3" spans="1:18" ht="15.75">
      <c r="A3" s="104"/>
      <c r="B3" s="104"/>
      <c r="C3" s="104"/>
      <c r="D3" s="104"/>
      <c r="E3" s="104"/>
      <c r="F3" s="104"/>
      <c r="G3" s="104"/>
      <c r="H3" s="104"/>
      <c r="I3" s="104"/>
      <c r="J3" s="106"/>
      <c r="K3" s="106"/>
      <c r="L3" s="106"/>
      <c r="M3" s="106"/>
      <c r="N3" s="106"/>
      <c r="O3" s="106"/>
      <c r="P3" s="106"/>
      <c r="Q3" s="106"/>
      <c r="R3" s="106"/>
    </row>
    <row r="4" spans="3:19" ht="15.75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6" ht="13.5" thickBot="1">
      <c r="R6" s="110" t="s">
        <v>36</v>
      </c>
    </row>
    <row r="7" spans="1:18" ht="13.5" thickBot="1">
      <c r="A7" s="294" t="s">
        <v>37</v>
      </c>
      <c r="B7" s="295" t="s">
        <v>38</v>
      </c>
      <c r="C7" s="296" t="s">
        <v>39</v>
      </c>
      <c r="D7" s="297" t="s">
        <v>160</v>
      </c>
      <c r="E7" s="297" t="s">
        <v>40</v>
      </c>
      <c r="F7" s="297" t="s">
        <v>41</v>
      </c>
      <c r="G7" s="297" t="s">
        <v>299</v>
      </c>
      <c r="H7" s="297" t="s">
        <v>300</v>
      </c>
      <c r="I7" s="297" t="s">
        <v>301</v>
      </c>
      <c r="J7" s="297" t="s">
        <v>161</v>
      </c>
      <c r="K7" s="297" t="s">
        <v>42</v>
      </c>
      <c r="L7" s="297" t="s">
        <v>162</v>
      </c>
      <c r="M7" s="297" t="s">
        <v>163</v>
      </c>
      <c r="N7" s="297" t="s">
        <v>164</v>
      </c>
      <c r="O7" s="297" t="s">
        <v>302</v>
      </c>
      <c r="P7" s="297" t="s">
        <v>43</v>
      </c>
      <c r="Q7" s="297" t="s">
        <v>165</v>
      </c>
      <c r="R7" s="298" t="s">
        <v>166</v>
      </c>
    </row>
    <row r="8" spans="1:18" ht="12.75">
      <c r="A8" s="299" t="s">
        <v>44</v>
      </c>
      <c r="B8" s="300" t="s">
        <v>45</v>
      </c>
      <c r="C8" s="301">
        <v>1</v>
      </c>
      <c r="D8" s="302">
        <v>4221.38</v>
      </c>
      <c r="E8" s="302">
        <v>7737.68</v>
      </c>
      <c r="F8" s="302">
        <v>1931.48</v>
      </c>
      <c r="G8" s="302">
        <v>5666.98</v>
      </c>
      <c r="H8" s="302">
        <v>1975.21</v>
      </c>
      <c r="I8" s="302">
        <v>1251.16</v>
      </c>
      <c r="J8" s="302">
        <v>1182.09</v>
      </c>
      <c r="K8" s="302">
        <v>2585.65</v>
      </c>
      <c r="L8" s="302">
        <v>121698.28</v>
      </c>
      <c r="M8" s="302">
        <v>153.22</v>
      </c>
      <c r="N8" s="302">
        <v>4823.26</v>
      </c>
      <c r="O8" s="302">
        <v>661.63</v>
      </c>
      <c r="P8" s="302">
        <v>627.08</v>
      </c>
      <c r="Q8" s="302">
        <v>764.76</v>
      </c>
      <c r="R8" s="303">
        <f>SUM(D8:Q8)</f>
        <v>155279.86000000002</v>
      </c>
    </row>
    <row r="9" spans="1:18" ht="12.75">
      <c r="A9" s="304" t="s">
        <v>46</v>
      </c>
      <c r="B9" s="305" t="s">
        <v>47</v>
      </c>
      <c r="C9" s="306">
        <v>2</v>
      </c>
      <c r="D9" s="307">
        <v>682.27</v>
      </c>
      <c r="E9" s="307">
        <v>985.03</v>
      </c>
      <c r="F9" s="307">
        <v>430</v>
      </c>
      <c r="G9" s="307">
        <v>2495.85</v>
      </c>
      <c r="H9" s="307">
        <v>908.81</v>
      </c>
      <c r="I9" s="307">
        <v>0</v>
      </c>
      <c r="J9" s="307">
        <v>444.13</v>
      </c>
      <c r="K9" s="307">
        <v>1096.27</v>
      </c>
      <c r="L9" s="307">
        <v>2022.76</v>
      </c>
      <c r="M9" s="307">
        <v>65.97</v>
      </c>
      <c r="N9" s="307">
        <v>5194.29</v>
      </c>
      <c r="O9" s="307">
        <v>238.08</v>
      </c>
      <c r="P9" s="307">
        <v>471.03</v>
      </c>
      <c r="Q9" s="307">
        <v>33.46</v>
      </c>
      <c r="R9" s="308">
        <f aca="true" t="shared" si="0" ref="R9:R37">SUM(D9:Q9)</f>
        <v>15067.949999999997</v>
      </c>
    </row>
    <row r="10" spans="1:18" ht="12.75">
      <c r="A10" s="304" t="s">
        <v>48</v>
      </c>
      <c r="B10" s="305" t="s">
        <v>49</v>
      </c>
      <c r="C10" s="306">
        <v>3</v>
      </c>
      <c r="D10" s="307">
        <v>0</v>
      </c>
      <c r="E10" s="307">
        <v>30.73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307">
        <v>0</v>
      </c>
      <c r="O10" s="307">
        <v>0</v>
      </c>
      <c r="P10" s="307">
        <v>0</v>
      </c>
      <c r="Q10" s="307">
        <v>10.56</v>
      </c>
      <c r="R10" s="308">
        <f t="shared" si="0"/>
        <v>41.29</v>
      </c>
    </row>
    <row r="11" spans="1:18" ht="12.75">
      <c r="A11" s="304" t="s">
        <v>50</v>
      </c>
      <c r="B11" s="305" t="s">
        <v>51</v>
      </c>
      <c r="C11" s="306">
        <v>4</v>
      </c>
      <c r="D11" s="307">
        <v>0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307">
        <v>0</v>
      </c>
      <c r="O11" s="307">
        <v>0</v>
      </c>
      <c r="P11" s="307">
        <v>0</v>
      </c>
      <c r="Q11" s="307">
        <v>0</v>
      </c>
      <c r="R11" s="308">
        <f t="shared" si="0"/>
        <v>0</v>
      </c>
    </row>
    <row r="12" spans="1:18" ht="12.75">
      <c r="A12" s="304" t="s">
        <v>52</v>
      </c>
      <c r="B12" s="305" t="s">
        <v>53</v>
      </c>
      <c r="C12" s="306">
        <v>5</v>
      </c>
      <c r="D12" s="307">
        <v>183.51</v>
      </c>
      <c r="E12" s="307">
        <v>394.98</v>
      </c>
      <c r="F12" s="307">
        <v>430.57</v>
      </c>
      <c r="G12" s="307">
        <v>8336.01</v>
      </c>
      <c r="H12" s="307">
        <v>2097.34</v>
      </c>
      <c r="I12" s="307">
        <v>65.5</v>
      </c>
      <c r="J12" s="307">
        <v>1237.26</v>
      </c>
      <c r="K12" s="307">
        <v>209.04</v>
      </c>
      <c r="L12" s="307">
        <v>694.03</v>
      </c>
      <c r="M12" s="307">
        <v>0</v>
      </c>
      <c r="N12" s="307">
        <v>5158.91</v>
      </c>
      <c r="O12" s="307">
        <v>62.51</v>
      </c>
      <c r="P12" s="307">
        <v>133.39</v>
      </c>
      <c r="Q12" s="307">
        <v>2.4</v>
      </c>
      <c r="R12" s="308">
        <f t="shared" si="0"/>
        <v>19005.45</v>
      </c>
    </row>
    <row r="13" spans="1:18" ht="12.75">
      <c r="A13" s="304" t="s">
        <v>54</v>
      </c>
      <c r="B13" s="305" t="s">
        <v>55</v>
      </c>
      <c r="C13" s="306">
        <v>6</v>
      </c>
      <c r="D13" s="307">
        <v>1820.43</v>
      </c>
      <c r="E13" s="307">
        <v>9901.98</v>
      </c>
      <c r="F13" s="307">
        <v>8.02</v>
      </c>
      <c r="G13" s="307">
        <v>1362.46</v>
      </c>
      <c r="H13" s="307">
        <v>2522.09</v>
      </c>
      <c r="I13" s="307">
        <v>617.08</v>
      </c>
      <c r="J13" s="307">
        <v>138.27</v>
      </c>
      <c r="K13" s="307">
        <v>2534.31</v>
      </c>
      <c r="L13" s="307">
        <v>347.84</v>
      </c>
      <c r="M13" s="307">
        <v>1600.64</v>
      </c>
      <c r="N13" s="307">
        <v>1330.88</v>
      </c>
      <c r="O13" s="307">
        <v>130.44</v>
      </c>
      <c r="P13" s="307">
        <v>19.95</v>
      </c>
      <c r="Q13" s="307">
        <v>571.92</v>
      </c>
      <c r="R13" s="308">
        <f t="shared" si="0"/>
        <v>22906.309999999998</v>
      </c>
    </row>
    <row r="14" spans="1:18" ht="12.75">
      <c r="A14" s="304" t="s">
        <v>56</v>
      </c>
      <c r="B14" s="305" t="s">
        <v>57</v>
      </c>
      <c r="C14" s="306">
        <v>7</v>
      </c>
      <c r="D14" s="307">
        <v>192.25</v>
      </c>
      <c r="E14" s="307">
        <v>20.91</v>
      </c>
      <c r="F14" s="307">
        <v>0</v>
      </c>
      <c r="G14" s="307">
        <v>56.37</v>
      </c>
      <c r="H14" s="307">
        <v>272.87</v>
      </c>
      <c r="I14" s="307">
        <v>209.78</v>
      </c>
      <c r="J14" s="307">
        <v>23.23</v>
      </c>
      <c r="K14" s="307">
        <v>189.57</v>
      </c>
      <c r="L14" s="307">
        <v>25.06</v>
      </c>
      <c r="M14" s="307">
        <v>0</v>
      </c>
      <c r="N14" s="307">
        <v>91.56</v>
      </c>
      <c r="O14" s="307">
        <v>33.6</v>
      </c>
      <c r="P14" s="307">
        <v>32.38</v>
      </c>
      <c r="Q14" s="307">
        <v>2.06</v>
      </c>
      <c r="R14" s="308">
        <f t="shared" si="0"/>
        <v>1149.6399999999999</v>
      </c>
    </row>
    <row r="15" spans="1:18" ht="12.75">
      <c r="A15" s="304" t="s">
        <v>58</v>
      </c>
      <c r="B15" s="305" t="s">
        <v>59</v>
      </c>
      <c r="C15" s="306">
        <v>8</v>
      </c>
      <c r="D15" s="307">
        <v>10056.64</v>
      </c>
      <c r="E15" s="307">
        <v>60830.26</v>
      </c>
      <c r="F15" s="307">
        <v>492.16</v>
      </c>
      <c r="G15" s="307">
        <v>16275.79</v>
      </c>
      <c r="H15" s="307">
        <v>24467.89</v>
      </c>
      <c r="I15" s="307">
        <v>11989.8</v>
      </c>
      <c r="J15" s="307">
        <v>5004.42</v>
      </c>
      <c r="K15" s="307">
        <v>79727.26</v>
      </c>
      <c r="L15" s="307">
        <v>34474.38</v>
      </c>
      <c r="M15" s="307">
        <v>2354.11</v>
      </c>
      <c r="N15" s="307">
        <v>22428.82</v>
      </c>
      <c r="O15" s="307">
        <v>1166.9</v>
      </c>
      <c r="P15" s="307">
        <v>772.8</v>
      </c>
      <c r="Q15" s="307">
        <v>7854.12</v>
      </c>
      <c r="R15" s="308">
        <f t="shared" si="0"/>
        <v>277895.35</v>
      </c>
    </row>
    <row r="16" spans="1:18" ht="12.75">
      <c r="A16" s="304" t="s">
        <v>60</v>
      </c>
      <c r="B16" s="305" t="s">
        <v>61</v>
      </c>
      <c r="C16" s="306">
        <v>9</v>
      </c>
      <c r="D16" s="307">
        <v>48897.52</v>
      </c>
      <c r="E16" s="307">
        <v>41636.18</v>
      </c>
      <c r="F16" s="307">
        <v>978.58</v>
      </c>
      <c r="G16" s="307">
        <v>46893.08</v>
      </c>
      <c r="H16" s="307">
        <v>57111.61</v>
      </c>
      <c r="I16" s="307">
        <v>30153.66</v>
      </c>
      <c r="J16" s="307">
        <v>4776</v>
      </c>
      <c r="K16" s="307">
        <v>23635.6</v>
      </c>
      <c r="L16" s="307">
        <v>34049.91</v>
      </c>
      <c r="M16" s="307">
        <v>0</v>
      </c>
      <c r="N16" s="307">
        <v>45734.49</v>
      </c>
      <c r="O16" s="307">
        <v>2480</v>
      </c>
      <c r="P16" s="307">
        <v>1668.77</v>
      </c>
      <c r="Q16" s="307">
        <v>2969</v>
      </c>
      <c r="R16" s="308">
        <f t="shared" si="0"/>
        <v>340984.4</v>
      </c>
    </row>
    <row r="17" spans="1:18" s="355" customFormat="1" ht="12.75">
      <c r="A17" s="350" t="s">
        <v>62</v>
      </c>
      <c r="B17" s="351" t="s">
        <v>63</v>
      </c>
      <c r="C17" s="352">
        <v>10</v>
      </c>
      <c r="D17" s="353">
        <v>14481.36</v>
      </c>
      <c r="E17" s="353">
        <v>9229.68</v>
      </c>
      <c r="F17" s="353">
        <v>321.79</v>
      </c>
      <c r="G17" s="353">
        <v>15358.87</v>
      </c>
      <c r="H17" s="353">
        <v>14267.95</v>
      </c>
      <c r="I17" s="353">
        <v>8050.48</v>
      </c>
      <c r="J17" s="353">
        <v>1524.85</v>
      </c>
      <c r="K17" s="353">
        <v>7361.05</v>
      </c>
      <c r="L17" s="353">
        <v>11834.95</v>
      </c>
      <c r="M17" s="353">
        <v>0</v>
      </c>
      <c r="N17" s="353">
        <v>13041.24</v>
      </c>
      <c r="O17" s="353">
        <v>649.8</v>
      </c>
      <c r="P17" s="353">
        <v>575.18</v>
      </c>
      <c r="Q17" s="353">
        <v>895.65</v>
      </c>
      <c r="R17" s="354">
        <f t="shared" si="0"/>
        <v>97592.84999999999</v>
      </c>
    </row>
    <row r="18" spans="1:18" s="355" customFormat="1" ht="12.75">
      <c r="A18" s="350" t="s">
        <v>64</v>
      </c>
      <c r="B18" s="351" t="s">
        <v>65</v>
      </c>
      <c r="C18" s="352">
        <v>11</v>
      </c>
      <c r="D18" s="353">
        <v>0</v>
      </c>
      <c r="E18" s="353">
        <v>149.66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7.61</v>
      </c>
      <c r="P18" s="353">
        <v>0</v>
      </c>
      <c r="Q18" s="353">
        <v>0</v>
      </c>
      <c r="R18" s="354">
        <f t="shared" si="0"/>
        <v>157.27</v>
      </c>
    </row>
    <row r="19" spans="1:18" ht="12.75">
      <c r="A19" s="304" t="s">
        <v>66</v>
      </c>
      <c r="B19" s="305" t="s">
        <v>67</v>
      </c>
      <c r="C19" s="306">
        <v>12</v>
      </c>
      <c r="D19" s="307">
        <v>176.33</v>
      </c>
      <c r="E19" s="307">
        <v>622.43</v>
      </c>
      <c r="F19" s="307">
        <v>0</v>
      </c>
      <c r="G19" s="307">
        <v>832.46</v>
      </c>
      <c r="H19" s="307">
        <v>659.75</v>
      </c>
      <c r="I19" s="307">
        <v>334.91</v>
      </c>
      <c r="J19" s="307">
        <v>78.94</v>
      </c>
      <c r="K19" s="307">
        <v>373.69</v>
      </c>
      <c r="L19" s="307">
        <v>674.83</v>
      </c>
      <c r="M19" s="307">
        <v>0</v>
      </c>
      <c r="N19" s="307">
        <v>536.68</v>
      </c>
      <c r="O19" s="307">
        <v>29.18</v>
      </c>
      <c r="P19" s="307">
        <v>32.57</v>
      </c>
      <c r="Q19" s="307">
        <v>47.68</v>
      </c>
      <c r="R19" s="308">
        <f t="shared" si="0"/>
        <v>4399.450000000001</v>
      </c>
    </row>
    <row r="20" spans="1:18" ht="12.75">
      <c r="A20" s="304" t="s">
        <v>68</v>
      </c>
      <c r="B20" s="305" t="s">
        <v>69</v>
      </c>
      <c r="C20" s="306">
        <v>13</v>
      </c>
      <c r="D20" s="307">
        <v>146.16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813.1</v>
      </c>
      <c r="M20" s="307">
        <v>0</v>
      </c>
      <c r="N20" s="307">
        <v>0</v>
      </c>
      <c r="O20" s="307">
        <v>0</v>
      </c>
      <c r="P20" s="307">
        <v>2.57</v>
      </c>
      <c r="Q20" s="307">
        <v>0</v>
      </c>
      <c r="R20" s="308">
        <f t="shared" si="0"/>
        <v>961.83</v>
      </c>
    </row>
    <row r="21" spans="1:18" ht="12.75">
      <c r="A21" s="304" t="s">
        <v>70</v>
      </c>
      <c r="B21" s="305" t="s">
        <v>71</v>
      </c>
      <c r="C21" s="306">
        <v>14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2.4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8">
        <f t="shared" si="0"/>
        <v>2.4</v>
      </c>
    </row>
    <row r="22" spans="1:18" ht="12.75">
      <c r="A22" s="304" t="s">
        <v>72</v>
      </c>
      <c r="B22" s="305" t="s">
        <v>73</v>
      </c>
      <c r="C22" s="306">
        <v>15</v>
      </c>
      <c r="D22" s="307">
        <v>0</v>
      </c>
      <c r="E22" s="307">
        <v>0.6</v>
      </c>
      <c r="F22" s="307">
        <v>0</v>
      </c>
      <c r="G22" s="307">
        <v>29.31</v>
      </c>
      <c r="H22" s="307">
        <v>2.55</v>
      </c>
      <c r="I22" s="307">
        <v>0</v>
      </c>
      <c r="J22" s="307">
        <v>0</v>
      </c>
      <c r="K22" s="307">
        <v>0</v>
      </c>
      <c r="L22" s="307">
        <v>0.32</v>
      </c>
      <c r="M22" s="307">
        <v>0</v>
      </c>
      <c r="N22" s="307">
        <v>1.9</v>
      </c>
      <c r="O22" s="307">
        <v>0</v>
      </c>
      <c r="P22" s="307">
        <v>5.62</v>
      </c>
      <c r="Q22" s="307">
        <v>0</v>
      </c>
      <c r="R22" s="308">
        <f t="shared" si="0"/>
        <v>40.3</v>
      </c>
    </row>
    <row r="23" spans="1:18" ht="12.75">
      <c r="A23" s="304" t="s">
        <v>74</v>
      </c>
      <c r="B23" s="305" t="s">
        <v>75</v>
      </c>
      <c r="C23" s="306">
        <v>16</v>
      </c>
      <c r="D23" s="307">
        <v>7.98</v>
      </c>
      <c r="E23" s="307">
        <v>0</v>
      </c>
      <c r="F23" s="307">
        <v>0</v>
      </c>
      <c r="G23" s="307">
        <v>5.88</v>
      </c>
      <c r="H23" s="307">
        <v>3.8</v>
      </c>
      <c r="I23" s="307">
        <v>0</v>
      </c>
      <c r="J23" s="307">
        <v>0</v>
      </c>
      <c r="K23" s="307">
        <v>23.67</v>
      </c>
      <c r="L23" s="307">
        <v>0</v>
      </c>
      <c r="M23" s="307">
        <v>0</v>
      </c>
      <c r="N23" s="307">
        <v>53.09</v>
      </c>
      <c r="O23" s="307">
        <v>0</v>
      </c>
      <c r="P23" s="307">
        <v>13.46</v>
      </c>
      <c r="Q23" s="307">
        <v>0</v>
      </c>
      <c r="R23" s="308">
        <f t="shared" si="0"/>
        <v>107.88</v>
      </c>
    </row>
    <row r="24" spans="1:18" ht="12.75">
      <c r="A24" s="304" t="s">
        <v>76</v>
      </c>
      <c r="B24" s="305" t="s">
        <v>77</v>
      </c>
      <c r="C24" s="306">
        <v>17</v>
      </c>
      <c r="D24" s="307">
        <v>0</v>
      </c>
      <c r="E24" s="307">
        <v>0</v>
      </c>
      <c r="F24" s="307">
        <v>0</v>
      </c>
      <c r="G24" s="307">
        <v>2.54</v>
      </c>
      <c r="H24" s="307">
        <v>0</v>
      </c>
      <c r="I24" s="307">
        <v>0</v>
      </c>
      <c r="J24" s="307">
        <v>0</v>
      </c>
      <c r="K24" s="307">
        <v>0</v>
      </c>
      <c r="L24" s="307">
        <v>1.46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8">
        <f t="shared" si="0"/>
        <v>4</v>
      </c>
    </row>
    <row r="25" spans="1:18" ht="12.75">
      <c r="A25" s="304" t="s">
        <v>78</v>
      </c>
      <c r="B25" s="305" t="s">
        <v>79</v>
      </c>
      <c r="C25" s="306">
        <v>18</v>
      </c>
      <c r="D25" s="307">
        <v>1.53</v>
      </c>
      <c r="E25" s="307">
        <v>0</v>
      </c>
      <c r="F25" s="307">
        <v>0.61</v>
      </c>
      <c r="G25" s="307">
        <v>1.28</v>
      </c>
      <c r="H25" s="307">
        <v>0</v>
      </c>
      <c r="I25" s="307">
        <v>3.02</v>
      </c>
      <c r="J25" s="307">
        <v>0</v>
      </c>
      <c r="K25" s="307">
        <v>63.92</v>
      </c>
      <c r="L25" s="307">
        <v>0</v>
      </c>
      <c r="M25" s="307">
        <v>0</v>
      </c>
      <c r="N25" s="307">
        <v>3.79</v>
      </c>
      <c r="O25" s="307">
        <v>0</v>
      </c>
      <c r="P25" s="307">
        <v>0</v>
      </c>
      <c r="Q25" s="307">
        <v>0</v>
      </c>
      <c r="R25" s="308">
        <f t="shared" si="0"/>
        <v>74.15</v>
      </c>
    </row>
    <row r="26" spans="1:18" ht="12.75">
      <c r="A26" s="304" t="s">
        <v>80</v>
      </c>
      <c r="B26" s="305" t="s">
        <v>81</v>
      </c>
      <c r="C26" s="306">
        <v>19</v>
      </c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23.51</v>
      </c>
      <c r="M26" s="307">
        <v>0</v>
      </c>
      <c r="N26" s="307">
        <v>0</v>
      </c>
      <c r="O26" s="307">
        <v>0</v>
      </c>
      <c r="P26" s="307">
        <v>0</v>
      </c>
      <c r="Q26" s="307">
        <v>0</v>
      </c>
      <c r="R26" s="308">
        <f t="shared" si="0"/>
        <v>23.51</v>
      </c>
    </row>
    <row r="27" spans="1:18" ht="12.75">
      <c r="A27" s="304" t="s">
        <v>82</v>
      </c>
      <c r="B27" s="305" t="s">
        <v>83</v>
      </c>
      <c r="C27" s="306">
        <v>20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0.2</v>
      </c>
      <c r="K27" s="307">
        <v>0</v>
      </c>
      <c r="L27" s="307">
        <v>0</v>
      </c>
      <c r="M27" s="307">
        <v>0</v>
      </c>
      <c r="N27" s="307">
        <v>0</v>
      </c>
      <c r="O27" s="307">
        <v>0</v>
      </c>
      <c r="P27" s="307">
        <v>0</v>
      </c>
      <c r="Q27" s="307">
        <v>0</v>
      </c>
      <c r="R27" s="308">
        <f t="shared" si="0"/>
        <v>0.2</v>
      </c>
    </row>
    <row r="28" spans="1:18" ht="12.75">
      <c r="A28" s="304" t="s">
        <v>84</v>
      </c>
      <c r="B28" s="305" t="s">
        <v>85</v>
      </c>
      <c r="C28" s="306">
        <v>21</v>
      </c>
      <c r="D28" s="307">
        <v>0</v>
      </c>
      <c r="E28" s="307">
        <v>1399.16</v>
      </c>
      <c r="F28" s="307">
        <v>0</v>
      </c>
      <c r="G28" s="307">
        <v>66.59</v>
      </c>
      <c r="H28" s="307">
        <v>0</v>
      </c>
      <c r="I28" s="307">
        <v>1.45</v>
      </c>
      <c r="J28" s="307">
        <v>0</v>
      </c>
      <c r="K28" s="307">
        <v>186.72</v>
      </c>
      <c r="L28" s="307">
        <v>75.51</v>
      </c>
      <c r="M28" s="307">
        <v>946.93</v>
      </c>
      <c r="N28" s="307">
        <v>5.99</v>
      </c>
      <c r="O28" s="307">
        <v>1.06</v>
      </c>
      <c r="P28" s="307">
        <v>0.4</v>
      </c>
      <c r="Q28" s="307">
        <v>35.61</v>
      </c>
      <c r="R28" s="308">
        <f t="shared" si="0"/>
        <v>2719.42</v>
      </c>
    </row>
    <row r="29" spans="1:18" ht="12.75">
      <c r="A29" s="304" t="s">
        <v>86</v>
      </c>
      <c r="B29" s="305" t="s">
        <v>87</v>
      </c>
      <c r="C29" s="306">
        <v>22</v>
      </c>
      <c r="D29" s="307">
        <v>0</v>
      </c>
      <c r="E29" s="307">
        <v>0</v>
      </c>
      <c r="F29" s="307">
        <v>0</v>
      </c>
      <c r="G29" s="307">
        <v>0</v>
      </c>
      <c r="H29" s="307">
        <v>0</v>
      </c>
      <c r="I29" s="307">
        <v>0</v>
      </c>
      <c r="J29" s="307">
        <v>0</v>
      </c>
      <c r="K29" s="307">
        <v>0</v>
      </c>
      <c r="L29" s="307">
        <v>0</v>
      </c>
      <c r="M29" s="307">
        <v>0</v>
      </c>
      <c r="N29" s="307">
        <v>0</v>
      </c>
      <c r="O29" s="307">
        <v>0</v>
      </c>
      <c r="P29" s="307">
        <v>0</v>
      </c>
      <c r="Q29" s="307">
        <v>0</v>
      </c>
      <c r="R29" s="308">
        <f t="shared" si="0"/>
        <v>0</v>
      </c>
    </row>
    <row r="30" spans="1:18" ht="12.75">
      <c r="A30" s="304" t="s">
        <v>88</v>
      </c>
      <c r="B30" s="305" t="s">
        <v>89</v>
      </c>
      <c r="C30" s="306">
        <v>23</v>
      </c>
      <c r="D30" s="307">
        <v>0</v>
      </c>
      <c r="E30" s="307">
        <v>0</v>
      </c>
      <c r="F30" s="307">
        <v>0</v>
      </c>
      <c r="G30" s="307">
        <v>5.97</v>
      </c>
      <c r="H30" s="307">
        <v>0</v>
      </c>
      <c r="I30" s="307">
        <v>0</v>
      </c>
      <c r="J30" s="307">
        <v>0</v>
      </c>
      <c r="K30" s="307">
        <v>0</v>
      </c>
      <c r="L30" s="307">
        <v>4.32</v>
      </c>
      <c r="M30" s="307">
        <v>10.54</v>
      </c>
      <c r="N30" s="307">
        <v>0.63</v>
      </c>
      <c r="O30" s="307">
        <v>0</v>
      </c>
      <c r="P30" s="307">
        <v>0</v>
      </c>
      <c r="Q30" s="307">
        <v>0</v>
      </c>
      <c r="R30" s="308">
        <f t="shared" si="0"/>
        <v>21.459999999999997</v>
      </c>
    </row>
    <row r="31" spans="1:18" ht="12.75">
      <c r="A31" s="304" t="s">
        <v>90</v>
      </c>
      <c r="B31" s="305" t="s">
        <v>91</v>
      </c>
      <c r="C31" s="306">
        <v>24</v>
      </c>
      <c r="D31" s="307">
        <v>396.24</v>
      </c>
      <c r="E31" s="307">
        <v>500783.04</v>
      </c>
      <c r="F31" s="307">
        <v>304.61</v>
      </c>
      <c r="G31" s="307">
        <v>468.23</v>
      </c>
      <c r="H31" s="307">
        <v>4331.36</v>
      </c>
      <c r="I31" s="307">
        <v>204.4</v>
      </c>
      <c r="J31" s="307">
        <v>4.19</v>
      </c>
      <c r="K31" s="307">
        <v>1360.69</v>
      </c>
      <c r="L31" s="307">
        <v>343.38</v>
      </c>
      <c r="M31" s="307">
        <v>8779.58</v>
      </c>
      <c r="N31" s="307">
        <v>1527.68</v>
      </c>
      <c r="O31" s="307">
        <v>109.57</v>
      </c>
      <c r="P31" s="307">
        <v>155.79</v>
      </c>
      <c r="Q31" s="307">
        <v>194.49</v>
      </c>
      <c r="R31" s="308">
        <f t="shared" si="0"/>
        <v>518963.24999999994</v>
      </c>
    </row>
    <row r="32" spans="1:18" ht="12.75">
      <c r="A32" s="304" t="s">
        <v>92</v>
      </c>
      <c r="B32" s="305" t="s">
        <v>93</v>
      </c>
      <c r="C32" s="306">
        <v>25</v>
      </c>
      <c r="D32" s="307">
        <v>393.53</v>
      </c>
      <c r="E32" s="307">
        <v>2772.17</v>
      </c>
      <c r="F32" s="307">
        <v>2989.83</v>
      </c>
      <c r="G32" s="307">
        <v>7045.67</v>
      </c>
      <c r="H32" s="307">
        <v>1370.34</v>
      </c>
      <c r="I32" s="307">
        <v>426.64</v>
      </c>
      <c r="J32" s="307">
        <v>455.96</v>
      </c>
      <c r="K32" s="307">
        <v>1247.3</v>
      </c>
      <c r="L32" s="307">
        <v>4432.42</v>
      </c>
      <c r="M32" s="307">
        <v>0</v>
      </c>
      <c r="N32" s="307">
        <v>6992.2</v>
      </c>
      <c r="O32" s="307">
        <v>437.28</v>
      </c>
      <c r="P32" s="307">
        <v>310.53</v>
      </c>
      <c r="Q32" s="307">
        <v>1148.06</v>
      </c>
      <c r="R32" s="308">
        <f t="shared" si="0"/>
        <v>30021.93</v>
      </c>
    </row>
    <row r="33" spans="1:18" ht="12.75">
      <c r="A33" s="304" t="s">
        <v>94</v>
      </c>
      <c r="B33" s="305" t="s">
        <v>95</v>
      </c>
      <c r="C33" s="306">
        <v>26</v>
      </c>
      <c r="D33" s="307">
        <v>0</v>
      </c>
      <c r="E33" s="307">
        <v>0</v>
      </c>
      <c r="F33" s="307">
        <v>0</v>
      </c>
      <c r="G33" s="307">
        <v>0.8</v>
      </c>
      <c r="H33" s="307">
        <v>0</v>
      </c>
      <c r="I33" s="307">
        <v>0</v>
      </c>
      <c r="J33" s="307">
        <v>0</v>
      </c>
      <c r="K33" s="307">
        <v>131.83</v>
      </c>
      <c r="L33" s="307">
        <v>0</v>
      </c>
      <c r="M33" s="307">
        <v>0</v>
      </c>
      <c r="N33" s="307">
        <v>0</v>
      </c>
      <c r="O33" s="307">
        <v>0</v>
      </c>
      <c r="P33" s="307">
        <v>0</v>
      </c>
      <c r="Q33" s="307">
        <v>0</v>
      </c>
      <c r="R33" s="308">
        <f t="shared" si="0"/>
        <v>132.63000000000002</v>
      </c>
    </row>
    <row r="34" spans="1:18" ht="12.75">
      <c r="A34" s="304" t="s">
        <v>96</v>
      </c>
      <c r="B34" s="305" t="s">
        <v>97</v>
      </c>
      <c r="C34" s="306">
        <v>27</v>
      </c>
      <c r="D34" s="307">
        <v>0</v>
      </c>
      <c r="E34" s="307">
        <v>0</v>
      </c>
      <c r="F34" s="307">
        <v>0</v>
      </c>
      <c r="G34" s="307">
        <v>0</v>
      </c>
      <c r="H34" s="307">
        <v>0</v>
      </c>
      <c r="I34" s="307">
        <v>0</v>
      </c>
      <c r="J34" s="307">
        <v>0</v>
      </c>
      <c r="K34" s="307">
        <v>0</v>
      </c>
      <c r="L34" s="307">
        <v>0</v>
      </c>
      <c r="M34" s="307">
        <v>0</v>
      </c>
      <c r="N34" s="307">
        <v>0</v>
      </c>
      <c r="O34" s="307">
        <v>0</v>
      </c>
      <c r="P34" s="307">
        <v>0</v>
      </c>
      <c r="Q34" s="307">
        <v>0</v>
      </c>
      <c r="R34" s="308">
        <f t="shared" si="0"/>
        <v>0</v>
      </c>
    </row>
    <row r="35" spans="1:18" ht="12.75">
      <c r="A35" s="304" t="s">
        <v>98</v>
      </c>
      <c r="B35" s="305" t="s">
        <v>99</v>
      </c>
      <c r="C35" s="306">
        <v>28</v>
      </c>
      <c r="D35" s="307">
        <v>0</v>
      </c>
      <c r="E35" s="307">
        <v>0</v>
      </c>
      <c r="F35" s="307">
        <v>0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7">
        <v>0</v>
      </c>
      <c r="N35" s="307">
        <v>0</v>
      </c>
      <c r="O35" s="307">
        <v>0</v>
      </c>
      <c r="P35" s="307">
        <v>0</v>
      </c>
      <c r="Q35" s="307">
        <v>0</v>
      </c>
      <c r="R35" s="308">
        <f t="shared" si="0"/>
        <v>0</v>
      </c>
    </row>
    <row r="36" spans="1:18" ht="12.75">
      <c r="A36" s="304" t="s">
        <v>100</v>
      </c>
      <c r="B36" s="305" t="s">
        <v>101</v>
      </c>
      <c r="C36" s="306">
        <v>29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7">
        <v>0</v>
      </c>
      <c r="N36" s="307">
        <v>0</v>
      </c>
      <c r="O36" s="307">
        <v>0</v>
      </c>
      <c r="P36" s="307">
        <v>0</v>
      </c>
      <c r="Q36" s="307">
        <v>0</v>
      </c>
      <c r="R36" s="308">
        <f t="shared" si="0"/>
        <v>0</v>
      </c>
    </row>
    <row r="37" spans="1:18" ht="13.5" thickBot="1">
      <c r="A37" s="309" t="s">
        <v>102</v>
      </c>
      <c r="B37" s="310" t="s">
        <v>103</v>
      </c>
      <c r="C37" s="311">
        <v>30</v>
      </c>
      <c r="D37" s="312">
        <v>0</v>
      </c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0</v>
      </c>
      <c r="M37" s="312">
        <v>0</v>
      </c>
      <c r="N37" s="312">
        <v>0</v>
      </c>
      <c r="O37" s="312">
        <v>0</v>
      </c>
      <c r="P37" s="312">
        <v>0</v>
      </c>
      <c r="Q37" s="312">
        <v>0</v>
      </c>
      <c r="R37" s="308">
        <f t="shared" si="0"/>
        <v>0</v>
      </c>
    </row>
    <row r="38" spans="1:18" ht="13.5" thickBot="1">
      <c r="A38" s="313"/>
      <c r="B38" s="314" t="s">
        <v>104</v>
      </c>
      <c r="C38" s="315">
        <v>31</v>
      </c>
      <c r="D38" s="316">
        <f>SUM(D8:D37)</f>
        <v>81657.13</v>
      </c>
      <c r="E38" s="316">
        <f aca="true" t="shared" si="1" ref="E38:R38">SUM(E8:E37)</f>
        <v>636494.49</v>
      </c>
      <c r="F38" s="316">
        <f t="shared" si="1"/>
        <v>7887.65</v>
      </c>
      <c r="G38" s="316">
        <f t="shared" si="1"/>
        <v>104904.14</v>
      </c>
      <c r="H38" s="316">
        <f t="shared" si="1"/>
        <v>109991.57</v>
      </c>
      <c r="I38" s="316">
        <f t="shared" si="1"/>
        <v>53307.87999999999</v>
      </c>
      <c r="J38" s="316">
        <f t="shared" si="1"/>
        <v>14871.94</v>
      </c>
      <c r="K38" s="316">
        <f t="shared" si="1"/>
        <v>120726.56999999999</v>
      </c>
      <c r="L38" s="316">
        <f t="shared" si="1"/>
        <v>211516.06000000003</v>
      </c>
      <c r="M38" s="316">
        <f t="shared" si="1"/>
        <v>13910.990000000002</v>
      </c>
      <c r="N38" s="316">
        <f t="shared" si="1"/>
        <v>106925.40999999997</v>
      </c>
      <c r="O38" s="316">
        <f t="shared" si="1"/>
        <v>6007.66</v>
      </c>
      <c r="P38" s="316">
        <f t="shared" si="1"/>
        <v>4821.519999999999</v>
      </c>
      <c r="Q38" s="316">
        <f t="shared" si="1"/>
        <v>14529.769999999999</v>
      </c>
      <c r="R38" s="317">
        <f t="shared" si="1"/>
        <v>1487552.7799999998</v>
      </c>
    </row>
    <row r="39" spans="1:18" ht="12.75">
      <c r="A39" s="299" t="s">
        <v>105</v>
      </c>
      <c r="B39" s="300" t="s">
        <v>106</v>
      </c>
      <c r="C39" s="301">
        <v>32</v>
      </c>
      <c r="D39" s="302">
        <v>367.65</v>
      </c>
      <c r="E39" s="302">
        <v>0</v>
      </c>
      <c r="F39" s="302">
        <v>0</v>
      </c>
      <c r="G39" s="302">
        <v>7.27</v>
      </c>
      <c r="H39" s="302">
        <v>0</v>
      </c>
      <c r="I39" s="302">
        <v>0</v>
      </c>
      <c r="J39" s="302">
        <v>0</v>
      </c>
      <c r="K39" s="302">
        <v>0</v>
      </c>
      <c r="L39" s="302">
        <v>0</v>
      </c>
      <c r="M39" s="302">
        <v>0</v>
      </c>
      <c r="N39" s="302">
        <v>0</v>
      </c>
      <c r="O39" s="302">
        <v>0</v>
      </c>
      <c r="P39" s="302">
        <v>0</v>
      </c>
      <c r="Q39" s="302">
        <v>0</v>
      </c>
      <c r="R39" s="308">
        <f aca="true" t="shared" si="2" ref="R39:R64">SUM(D39:Q39)</f>
        <v>374.91999999999996</v>
      </c>
    </row>
    <row r="40" spans="1:18" ht="12.75">
      <c r="A40" s="304" t="s">
        <v>107</v>
      </c>
      <c r="B40" s="305" t="s">
        <v>108</v>
      </c>
      <c r="C40" s="306">
        <v>33</v>
      </c>
      <c r="D40" s="307">
        <v>2927.23</v>
      </c>
      <c r="E40" s="307">
        <v>0</v>
      </c>
      <c r="F40" s="307">
        <v>195.41</v>
      </c>
      <c r="G40" s="307">
        <v>1157.72</v>
      </c>
      <c r="H40" s="307">
        <v>6871.83</v>
      </c>
      <c r="I40" s="307">
        <v>268.13</v>
      </c>
      <c r="J40" s="307">
        <v>113.48</v>
      </c>
      <c r="K40" s="307">
        <v>3281.64</v>
      </c>
      <c r="L40" s="307">
        <v>2084.86</v>
      </c>
      <c r="M40" s="307">
        <v>0</v>
      </c>
      <c r="N40" s="307">
        <v>24248.97</v>
      </c>
      <c r="O40" s="307">
        <v>877.51</v>
      </c>
      <c r="P40" s="307">
        <v>2999.71</v>
      </c>
      <c r="Q40" s="307">
        <v>916.07</v>
      </c>
      <c r="R40" s="308">
        <f t="shared" si="2"/>
        <v>45942.56</v>
      </c>
    </row>
    <row r="41" spans="1:18" ht="12.75">
      <c r="A41" s="304" t="s">
        <v>109</v>
      </c>
      <c r="B41" s="305" t="s">
        <v>110</v>
      </c>
      <c r="C41" s="306">
        <v>34</v>
      </c>
      <c r="D41" s="307">
        <v>0</v>
      </c>
      <c r="E41" s="307">
        <v>0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>
        <v>0</v>
      </c>
      <c r="N41" s="307">
        <v>0</v>
      </c>
      <c r="O41" s="307">
        <v>0</v>
      </c>
      <c r="P41" s="307">
        <v>0</v>
      </c>
      <c r="Q41" s="307">
        <v>0</v>
      </c>
      <c r="R41" s="308">
        <f t="shared" si="2"/>
        <v>0</v>
      </c>
    </row>
    <row r="42" spans="1:18" ht="12.75">
      <c r="A42" s="304" t="s">
        <v>111</v>
      </c>
      <c r="B42" s="305" t="s">
        <v>112</v>
      </c>
      <c r="C42" s="306">
        <v>35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>
        <v>0</v>
      </c>
      <c r="N42" s="307">
        <v>0</v>
      </c>
      <c r="O42" s="307">
        <v>0</v>
      </c>
      <c r="P42" s="307">
        <v>0</v>
      </c>
      <c r="Q42" s="307">
        <v>0</v>
      </c>
      <c r="R42" s="308">
        <f t="shared" si="2"/>
        <v>0</v>
      </c>
    </row>
    <row r="43" spans="1:18" ht="12.75">
      <c r="A43" s="304" t="s">
        <v>113</v>
      </c>
      <c r="B43" s="305" t="s">
        <v>114</v>
      </c>
      <c r="C43" s="306">
        <v>36</v>
      </c>
      <c r="D43" s="307">
        <v>0</v>
      </c>
      <c r="E43" s="307">
        <v>0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7">
        <v>0</v>
      </c>
      <c r="L43" s="307">
        <v>0</v>
      </c>
      <c r="M43" s="307">
        <v>0</v>
      </c>
      <c r="N43" s="307">
        <v>0</v>
      </c>
      <c r="O43" s="307">
        <v>0</v>
      </c>
      <c r="P43" s="307">
        <v>0</v>
      </c>
      <c r="Q43" s="307">
        <v>0</v>
      </c>
      <c r="R43" s="308">
        <f t="shared" si="2"/>
        <v>0</v>
      </c>
    </row>
    <row r="44" spans="1:18" ht="12.75">
      <c r="A44" s="304" t="s">
        <v>115</v>
      </c>
      <c r="B44" s="305" t="s">
        <v>116</v>
      </c>
      <c r="C44" s="306">
        <v>37</v>
      </c>
      <c r="D44" s="307">
        <v>0</v>
      </c>
      <c r="E44" s="307">
        <v>0</v>
      </c>
      <c r="F44" s="307">
        <v>0</v>
      </c>
      <c r="G44" s="307">
        <v>7.32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0</v>
      </c>
      <c r="O44" s="307">
        <v>0</v>
      </c>
      <c r="P44" s="307">
        <v>0</v>
      </c>
      <c r="Q44" s="307">
        <v>0</v>
      </c>
      <c r="R44" s="308">
        <f t="shared" si="2"/>
        <v>7.32</v>
      </c>
    </row>
    <row r="45" spans="1:18" ht="12.75">
      <c r="A45" s="304" t="s">
        <v>117</v>
      </c>
      <c r="B45" s="305" t="s">
        <v>118</v>
      </c>
      <c r="C45" s="306">
        <v>38</v>
      </c>
      <c r="D45" s="307">
        <v>0</v>
      </c>
      <c r="E45" s="307">
        <v>0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307">
        <v>0</v>
      </c>
      <c r="L45" s="307">
        <v>0</v>
      </c>
      <c r="M45" s="307">
        <v>0</v>
      </c>
      <c r="N45" s="307">
        <v>0</v>
      </c>
      <c r="O45" s="307">
        <v>0</v>
      </c>
      <c r="P45" s="307">
        <v>0</v>
      </c>
      <c r="Q45" s="307">
        <v>0</v>
      </c>
      <c r="R45" s="308">
        <f t="shared" si="2"/>
        <v>0</v>
      </c>
    </row>
    <row r="46" spans="1:18" ht="12.75">
      <c r="A46" s="304" t="s">
        <v>119</v>
      </c>
      <c r="B46" s="305" t="s">
        <v>120</v>
      </c>
      <c r="C46" s="306">
        <v>39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307">
        <v>0</v>
      </c>
      <c r="M46" s="307">
        <v>0</v>
      </c>
      <c r="N46" s="307">
        <v>0</v>
      </c>
      <c r="O46" s="307">
        <v>0</v>
      </c>
      <c r="P46" s="307">
        <v>0</v>
      </c>
      <c r="Q46" s="307">
        <v>0</v>
      </c>
      <c r="R46" s="308">
        <f t="shared" si="2"/>
        <v>0</v>
      </c>
    </row>
    <row r="47" spans="1:18" ht="12.75">
      <c r="A47" s="304" t="s">
        <v>121</v>
      </c>
      <c r="B47" s="305" t="s">
        <v>122</v>
      </c>
      <c r="C47" s="306">
        <v>40</v>
      </c>
      <c r="D47" s="307">
        <v>0</v>
      </c>
      <c r="E47" s="307">
        <v>0</v>
      </c>
      <c r="F47" s="307">
        <v>0</v>
      </c>
      <c r="G47" s="307">
        <v>0</v>
      </c>
      <c r="H47" s="307">
        <v>0</v>
      </c>
      <c r="I47" s="307">
        <v>0</v>
      </c>
      <c r="J47" s="307">
        <v>0</v>
      </c>
      <c r="K47" s="307">
        <v>0</v>
      </c>
      <c r="L47" s="307">
        <v>0</v>
      </c>
      <c r="M47" s="307">
        <v>0</v>
      </c>
      <c r="N47" s="307">
        <v>0</v>
      </c>
      <c r="O47" s="307">
        <v>0</v>
      </c>
      <c r="P47" s="307">
        <v>0</v>
      </c>
      <c r="Q47" s="307">
        <v>0</v>
      </c>
      <c r="R47" s="308">
        <f t="shared" si="2"/>
        <v>0</v>
      </c>
    </row>
    <row r="48" spans="1:18" ht="12.75">
      <c r="A48" s="304" t="s">
        <v>123</v>
      </c>
      <c r="B48" s="305" t="s">
        <v>124</v>
      </c>
      <c r="C48" s="306">
        <v>41</v>
      </c>
      <c r="D48" s="307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307">
        <v>0</v>
      </c>
      <c r="M48" s="307">
        <v>0</v>
      </c>
      <c r="N48" s="307">
        <v>0</v>
      </c>
      <c r="O48" s="307">
        <v>0</v>
      </c>
      <c r="P48" s="307">
        <v>0</v>
      </c>
      <c r="Q48" s="307">
        <v>0</v>
      </c>
      <c r="R48" s="308">
        <f t="shared" si="2"/>
        <v>0</v>
      </c>
    </row>
    <row r="49" spans="1:18" ht="12.75">
      <c r="A49" s="304" t="s">
        <v>125</v>
      </c>
      <c r="B49" s="305" t="s">
        <v>126</v>
      </c>
      <c r="C49" s="306">
        <v>42</v>
      </c>
      <c r="D49" s="307">
        <v>0</v>
      </c>
      <c r="E49" s="307">
        <v>0</v>
      </c>
      <c r="F49" s="307">
        <v>0</v>
      </c>
      <c r="G49" s="307">
        <v>0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7">
        <v>0</v>
      </c>
      <c r="O49" s="307">
        <v>0</v>
      </c>
      <c r="P49" s="307">
        <v>0</v>
      </c>
      <c r="Q49" s="307">
        <v>0</v>
      </c>
      <c r="R49" s="308">
        <f t="shared" si="2"/>
        <v>0</v>
      </c>
    </row>
    <row r="50" spans="1:18" ht="12.75">
      <c r="A50" s="304" t="s">
        <v>127</v>
      </c>
      <c r="B50" s="305" t="s">
        <v>77</v>
      </c>
      <c r="C50" s="306">
        <v>43</v>
      </c>
      <c r="D50" s="307">
        <v>0</v>
      </c>
      <c r="E50" s="307">
        <v>0</v>
      </c>
      <c r="F50" s="307">
        <v>0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0</v>
      </c>
      <c r="Q50" s="307">
        <v>0</v>
      </c>
      <c r="R50" s="308">
        <f t="shared" si="2"/>
        <v>0</v>
      </c>
    </row>
    <row r="51" spans="1:18" ht="12.75">
      <c r="A51" s="304" t="s">
        <v>128</v>
      </c>
      <c r="B51" s="305" t="s">
        <v>79</v>
      </c>
      <c r="C51" s="306">
        <v>44</v>
      </c>
      <c r="D51" s="307">
        <v>0</v>
      </c>
      <c r="E51" s="307">
        <v>0</v>
      </c>
      <c r="F51" s="307">
        <v>0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8">
        <f t="shared" si="2"/>
        <v>0</v>
      </c>
    </row>
    <row r="52" spans="1:18" ht="12.75">
      <c r="A52" s="304" t="s">
        <v>129</v>
      </c>
      <c r="B52" s="305" t="s">
        <v>130</v>
      </c>
      <c r="C52" s="306">
        <v>45</v>
      </c>
      <c r="D52" s="307">
        <v>0</v>
      </c>
      <c r="E52" s="307">
        <v>0</v>
      </c>
      <c r="F52" s="307">
        <v>0</v>
      </c>
      <c r="G52" s="307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0</v>
      </c>
      <c r="M52" s="307">
        <v>0</v>
      </c>
      <c r="N52" s="307">
        <v>0</v>
      </c>
      <c r="O52" s="307">
        <v>0</v>
      </c>
      <c r="P52" s="307">
        <v>0</v>
      </c>
      <c r="Q52" s="307">
        <v>0</v>
      </c>
      <c r="R52" s="308">
        <f t="shared" si="2"/>
        <v>0</v>
      </c>
    </row>
    <row r="53" spans="1:18" ht="12.75">
      <c r="A53" s="304" t="s">
        <v>131</v>
      </c>
      <c r="B53" s="334" t="s">
        <v>83</v>
      </c>
      <c r="C53" s="335">
        <v>46</v>
      </c>
      <c r="D53" s="336">
        <v>7.3</v>
      </c>
      <c r="E53" s="336">
        <v>198.56</v>
      </c>
      <c r="F53" s="336">
        <v>23.69</v>
      </c>
      <c r="G53" s="336">
        <v>121.05</v>
      </c>
      <c r="H53" s="336">
        <v>122.84</v>
      </c>
      <c r="I53" s="336">
        <v>174.3</v>
      </c>
      <c r="J53" s="336">
        <v>0</v>
      </c>
      <c r="K53" s="336">
        <v>3.31</v>
      </c>
      <c r="L53" s="336">
        <v>210.49</v>
      </c>
      <c r="M53" s="336">
        <v>11.37</v>
      </c>
      <c r="N53" s="336">
        <v>79.32</v>
      </c>
      <c r="O53" s="336">
        <v>0.71</v>
      </c>
      <c r="P53" s="336">
        <v>23.7</v>
      </c>
      <c r="Q53" s="336">
        <v>2.53</v>
      </c>
      <c r="R53" s="308">
        <f t="shared" si="2"/>
        <v>979.1700000000001</v>
      </c>
    </row>
    <row r="54" spans="1:18" ht="12.75">
      <c r="A54" s="304" t="s">
        <v>132</v>
      </c>
      <c r="B54" s="334" t="s">
        <v>133</v>
      </c>
      <c r="C54" s="335">
        <v>47</v>
      </c>
      <c r="D54" s="336">
        <v>0</v>
      </c>
      <c r="E54" s="336">
        <v>40.15</v>
      </c>
      <c r="F54" s="336">
        <v>0</v>
      </c>
      <c r="G54" s="336">
        <v>44.6</v>
      </c>
      <c r="H54" s="336">
        <v>0</v>
      </c>
      <c r="I54" s="336">
        <v>0</v>
      </c>
      <c r="J54" s="336">
        <v>0</v>
      </c>
      <c r="K54" s="336">
        <v>12.38</v>
      </c>
      <c r="L54" s="336">
        <v>6.12</v>
      </c>
      <c r="M54" s="336">
        <v>614.42</v>
      </c>
      <c r="N54" s="336">
        <v>0</v>
      </c>
      <c r="O54" s="336">
        <v>0</v>
      </c>
      <c r="P54" s="336">
        <v>0</v>
      </c>
      <c r="Q54" s="336">
        <v>16.09</v>
      </c>
      <c r="R54" s="308">
        <f t="shared" si="2"/>
        <v>733.76</v>
      </c>
    </row>
    <row r="55" spans="1:18" ht="12.75">
      <c r="A55" s="304">
        <v>648</v>
      </c>
      <c r="B55" s="305" t="s">
        <v>134</v>
      </c>
      <c r="C55" s="306">
        <v>48</v>
      </c>
      <c r="D55" s="307">
        <v>3566.73</v>
      </c>
      <c r="E55" s="307">
        <v>6351.88</v>
      </c>
      <c r="F55" s="307">
        <v>0</v>
      </c>
      <c r="G55" s="307">
        <v>7743.58</v>
      </c>
      <c r="H55" s="307">
        <v>20030.16</v>
      </c>
      <c r="I55" s="307">
        <v>3909.56</v>
      </c>
      <c r="J55" s="307">
        <v>0</v>
      </c>
      <c r="K55" s="307">
        <v>69091.46</v>
      </c>
      <c r="L55" s="307">
        <v>785.13</v>
      </c>
      <c r="M55" s="307">
        <v>0</v>
      </c>
      <c r="N55" s="307">
        <v>16118.18</v>
      </c>
      <c r="O55" s="307">
        <v>102.93</v>
      </c>
      <c r="P55" s="307">
        <v>451.74</v>
      </c>
      <c r="Q55" s="307">
        <v>0</v>
      </c>
      <c r="R55" s="308">
        <f t="shared" si="2"/>
        <v>128151.35000000002</v>
      </c>
    </row>
    <row r="56" spans="1:18" ht="12.75">
      <c r="A56" s="304" t="s">
        <v>135</v>
      </c>
      <c r="B56" s="305" t="s">
        <v>136</v>
      </c>
      <c r="C56" s="306">
        <v>49</v>
      </c>
      <c r="D56" s="307">
        <v>634.2</v>
      </c>
      <c r="E56" s="307">
        <v>381.26</v>
      </c>
      <c r="F56" s="307">
        <v>74.37</v>
      </c>
      <c r="G56" s="307">
        <v>15210.44</v>
      </c>
      <c r="H56" s="307">
        <v>44.38</v>
      </c>
      <c r="I56" s="307">
        <v>8.55</v>
      </c>
      <c r="J56" s="307">
        <v>0</v>
      </c>
      <c r="K56" s="307">
        <v>3602.43</v>
      </c>
      <c r="L56" s="307">
        <v>609.51</v>
      </c>
      <c r="M56" s="307">
        <v>784.24</v>
      </c>
      <c r="N56" s="307">
        <v>1623.86</v>
      </c>
      <c r="O56" s="307">
        <v>35.91</v>
      </c>
      <c r="P56" s="307">
        <v>442.29</v>
      </c>
      <c r="Q56" s="307">
        <v>1148.08</v>
      </c>
      <c r="R56" s="308">
        <f t="shared" si="2"/>
        <v>24599.519999999997</v>
      </c>
    </row>
    <row r="57" spans="1:18" ht="12.75">
      <c r="A57" s="304" t="s">
        <v>137</v>
      </c>
      <c r="B57" s="305" t="s">
        <v>138</v>
      </c>
      <c r="C57" s="306">
        <v>50</v>
      </c>
      <c r="D57" s="307">
        <v>0</v>
      </c>
      <c r="E57" s="307">
        <v>0</v>
      </c>
      <c r="F57" s="307">
        <v>235.29</v>
      </c>
      <c r="G57" s="307">
        <v>0</v>
      </c>
      <c r="H57" s="307">
        <v>0</v>
      </c>
      <c r="I57" s="307">
        <v>0</v>
      </c>
      <c r="J57" s="307">
        <v>0</v>
      </c>
      <c r="K57" s="307">
        <v>140.84</v>
      </c>
      <c r="L57" s="307">
        <v>0</v>
      </c>
      <c r="M57" s="307">
        <v>0</v>
      </c>
      <c r="N57" s="307">
        <v>0</v>
      </c>
      <c r="O57" s="307">
        <v>0</v>
      </c>
      <c r="P57" s="307">
        <v>0.5</v>
      </c>
      <c r="Q57" s="307">
        <v>0</v>
      </c>
      <c r="R57" s="308">
        <f t="shared" si="2"/>
        <v>376.63</v>
      </c>
    </row>
    <row r="58" spans="1:18" ht="12.75">
      <c r="A58" s="304" t="s">
        <v>139</v>
      </c>
      <c r="B58" s="305" t="s">
        <v>140</v>
      </c>
      <c r="C58" s="306">
        <v>51</v>
      </c>
      <c r="D58" s="307">
        <v>0</v>
      </c>
      <c r="E58" s="307">
        <v>0</v>
      </c>
      <c r="F58" s="307">
        <v>0</v>
      </c>
      <c r="G58" s="307">
        <v>0</v>
      </c>
      <c r="H58" s="307">
        <v>0</v>
      </c>
      <c r="I58" s="307">
        <v>0</v>
      </c>
      <c r="J58" s="307">
        <v>0</v>
      </c>
      <c r="K58" s="307">
        <v>0</v>
      </c>
      <c r="L58" s="307">
        <v>0</v>
      </c>
      <c r="M58" s="307">
        <v>0</v>
      </c>
      <c r="N58" s="307">
        <v>0</v>
      </c>
      <c r="O58" s="307">
        <v>0</v>
      </c>
      <c r="P58" s="307">
        <v>0</v>
      </c>
      <c r="Q58" s="307">
        <v>0</v>
      </c>
      <c r="R58" s="308">
        <f t="shared" si="2"/>
        <v>0</v>
      </c>
    </row>
    <row r="59" spans="1:18" ht="12.75">
      <c r="A59" s="304" t="s">
        <v>141</v>
      </c>
      <c r="B59" s="305" t="s">
        <v>142</v>
      </c>
      <c r="C59" s="306">
        <v>52</v>
      </c>
      <c r="D59" s="307">
        <v>0</v>
      </c>
      <c r="E59" s="307">
        <v>0</v>
      </c>
      <c r="F59" s="307">
        <v>0</v>
      </c>
      <c r="G59" s="307">
        <v>0</v>
      </c>
      <c r="H59" s="307">
        <v>0</v>
      </c>
      <c r="I59" s="307">
        <v>0</v>
      </c>
      <c r="J59" s="307">
        <v>0</v>
      </c>
      <c r="K59" s="307">
        <v>0</v>
      </c>
      <c r="L59" s="307">
        <v>0</v>
      </c>
      <c r="M59" s="307">
        <v>0</v>
      </c>
      <c r="N59" s="307">
        <v>0</v>
      </c>
      <c r="O59" s="307">
        <v>0</v>
      </c>
      <c r="P59" s="307">
        <v>0</v>
      </c>
      <c r="Q59" s="307">
        <v>0</v>
      </c>
      <c r="R59" s="308">
        <f t="shared" si="2"/>
        <v>0</v>
      </c>
    </row>
    <row r="60" spans="1:18" ht="12.75">
      <c r="A60" s="304" t="s">
        <v>143</v>
      </c>
      <c r="B60" s="305" t="s">
        <v>144</v>
      </c>
      <c r="C60" s="306">
        <v>53</v>
      </c>
      <c r="D60" s="307">
        <v>0</v>
      </c>
      <c r="E60" s="307">
        <v>0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307">
        <v>0</v>
      </c>
      <c r="L60" s="307">
        <v>0</v>
      </c>
      <c r="M60" s="307">
        <v>0</v>
      </c>
      <c r="N60" s="307">
        <v>0</v>
      </c>
      <c r="O60" s="307">
        <v>0</v>
      </c>
      <c r="P60" s="307">
        <v>0</v>
      </c>
      <c r="Q60" s="307">
        <v>0</v>
      </c>
      <c r="R60" s="308">
        <f t="shared" si="2"/>
        <v>0</v>
      </c>
    </row>
    <row r="61" spans="1:18" ht="12.75">
      <c r="A61" s="304" t="s">
        <v>145</v>
      </c>
      <c r="B61" s="305" t="s">
        <v>146</v>
      </c>
      <c r="C61" s="306">
        <v>54</v>
      </c>
      <c r="D61" s="307">
        <v>0</v>
      </c>
      <c r="E61" s="307">
        <v>0</v>
      </c>
      <c r="F61" s="307">
        <v>0</v>
      </c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v>0</v>
      </c>
      <c r="N61" s="307">
        <v>0</v>
      </c>
      <c r="O61" s="307">
        <v>0</v>
      </c>
      <c r="P61" s="307">
        <v>0</v>
      </c>
      <c r="Q61" s="307">
        <v>0</v>
      </c>
      <c r="R61" s="308">
        <f t="shared" si="2"/>
        <v>0</v>
      </c>
    </row>
    <row r="62" spans="1:18" ht="12.75">
      <c r="A62" s="304" t="s">
        <v>147</v>
      </c>
      <c r="B62" s="305" t="s">
        <v>148</v>
      </c>
      <c r="C62" s="306">
        <v>55</v>
      </c>
      <c r="D62" s="307">
        <v>0</v>
      </c>
      <c r="E62" s="307">
        <v>0</v>
      </c>
      <c r="F62" s="307">
        <v>0</v>
      </c>
      <c r="G62" s="307">
        <v>0</v>
      </c>
      <c r="H62" s="307">
        <v>0</v>
      </c>
      <c r="I62" s="307">
        <v>0</v>
      </c>
      <c r="J62" s="307">
        <v>0</v>
      </c>
      <c r="K62" s="307">
        <v>0</v>
      </c>
      <c r="L62" s="307">
        <v>0</v>
      </c>
      <c r="M62" s="307">
        <v>0</v>
      </c>
      <c r="N62" s="307">
        <v>0</v>
      </c>
      <c r="O62" s="307">
        <v>0</v>
      </c>
      <c r="P62" s="307">
        <v>0</v>
      </c>
      <c r="Q62" s="307">
        <v>0</v>
      </c>
      <c r="R62" s="308">
        <f t="shared" si="2"/>
        <v>0</v>
      </c>
    </row>
    <row r="63" spans="1:18" ht="12.75">
      <c r="A63" s="304" t="s">
        <v>149</v>
      </c>
      <c r="B63" s="305" t="s">
        <v>150</v>
      </c>
      <c r="C63" s="306">
        <v>56</v>
      </c>
      <c r="D63" s="307">
        <v>0</v>
      </c>
      <c r="E63" s="307">
        <v>0</v>
      </c>
      <c r="F63" s="307">
        <v>0</v>
      </c>
      <c r="G63" s="307">
        <v>0</v>
      </c>
      <c r="H63" s="307">
        <v>0</v>
      </c>
      <c r="I63" s="307">
        <v>0</v>
      </c>
      <c r="J63" s="307">
        <v>0</v>
      </c>
      <c r="K63" s="307">
        <v>0</v>
      </c>
      <c r="L63" s="307">
        <v>0</v>
      </c>
      <c r="M63" s="307">
        <v>0</v>
      </c>
      <c r="N63" s="307">
        <v>0</v>
      </c>
      <c r="O63" s="307">
        <v>0</v>
      </c>
      <c r="P63" s="307">
        <v>0</v>
      </c>
      <c r="Q63" s="307">
        <v>0</v>
      </c>
      <c r="R63" s="308">
        <f t="shared" si="2"/>
        <v>0</v>
      </c>
    </row>
    <row r="64" spans="1:18" ht="13.5" thickBot="1">
      <c r="A64" s="309" t="s">
        <v>151</v>
      </c>
      <c r="B64" s="310" t="s">
        <v>152</v>
      </c>
      <c r="C64" s="311">
        <v>57</v>
      </c>
      <c r="D64" s="312">
        <v>85229.96</v>
      </c>
      <c r="E64" s="312">
        <v>647906.27</v>
      </c>
      <c r="F64" s="312">
        <v>10205.16</v>
      </c>
      <c r="G64" s="312">
        <v>84929.98</v>
      </c>
      <c r="H64" s="312">
        <v>83699.39</v>
      </c>
      <c r="I64" s="312">
        <v>49915.07</v>
      </c>
      <c r="J64" s="312">
        <v>14789</v>
      </c>
      <c r="K64" s="312">
        <v>44983.87</v>
      </c>
      <c r="L64" s="312">
        <v>217555</v>
      </c>
      <c r="M64" s="312">
        <v>12546</v>
      </c>
      <c r="N64" s="312">
        <v>69301.45</v>
      </c>
      <c r="O64" s="312">
        <v>5466.78</v>
      </c>
      <c r="P64" s="312">
        <v>792.83</v>
      </c>
      <c r="Q64" s="312">
        <v>12447</v>
      </c>
      <c r="R64" s="308">
        <f t="shared" si="2"/>
        <v>1339767.76</v>
      </c>
    </row>
    <row r="65" spans="1:18" ht="13.5" thickBot="1">
      <c r="A65" s="313"/>
      <c r="B65" s="314" t="s">
        <v>153</v>
      </c>
      <c r="C65" s="315">
        <v>58</v>
      </c>
      <c r="D65" s="316">
        <f>SUM(D39:D64)</f>
        <v>92733.07</v>
      </c>
      <c r="E65" s="316">
        <f aca="true" t="shared" si="3" ref="E65:R65">SUM(E39:E64)</f>
        <v>654878.12</v>
      </c>
      <c r="F65" s="316">
        <f t="shared" si="3"/>
        <v>10733.92</v>
      </c>
      <c r="G65" s="316">
        <f t="shared" si="3"/>
        <v>109221.95999999999</v>
      </c>
      <c r="H65" s="316">
        <f t="shared" si="3"/>
        <v>110768.6</v>
      </c>
      <c r="I65" s="316">
        <f t="shared" si="3"/>
        <v>54275.61</v>
      </c>
      <c r="J65" s="316">
        <f t="shared" si="3"/>
        <v>14902.48</v>
      </c>
      <c r="K65" s="316">
        <f t="shared" si="3"/>
        <v>121115.93</v>
      </c>
      <c r="L65" s="316">
        <f t="shared" si="3"/>
        <v>221251.11</v>
      </c>
      <c r="M65" s="316">
        <f t="shared" si="3"/>
        <v>13956.03</v>
      </c>
      <c r="N65" s="316">
        <f t="shared" si="3"/>
        <v>111371.78</v>
      </c>
      <c r="O65" s="316">
        <f t="shared" si="3"/>
        <v>6483.84</v>
      </c>
      <c r="P65" s="316">
        <f t="shared" si="3"/>
        <v>4710.7699999999995</v>
      </c>
      <c r="Q65" s="316">
        <f t="shared" si="3"/>
        <v>14529.77</v>
      </c>
      <c r="R65" s="317">
        <f t="shared" si="3"/>
        <v>1540932.99</v>
      </c>
    </row>
    <row r="66" spans="1:18" ht="13.5" thickBot="1">
      <c r="A66" s="318"/>
      <c r="B66" s="319" t="s">
        <v>154</v>
      </c>
      <c r="C66" s="320">
        <v>59</v>
      </c>
      <c r="D66" s="321">
        <f aca="true" t="shared" si="4" ref="D66:R66">D65-D38</f>
        <v>11075.940000000002</v>
      </c>
      <c r="E66" s="321">
        <f t="shared" si="4"/>
        <v>18383.630000000005</v>
      </c>
      <c r="F66" s="321">
        <f t="shared" si="4"/>
        <v>2846.2700000000004</v>
      </c>
      <c r="G66" s="321">
        <f t="shared" si="4"/>
        <v>4317.819999999992</v>
      </c>
      <c r="H66" s="321">
        <f t="shared" si="4"/>
        <v>777.0299999999988</v>
      </c>
      <c r="I66" s="321">
        <f t="shared" si="4"/>
        <v>967.7300000000105</v>
      </c>
      <c r="J66" s="321">
        <f t="shared" si="4"/>
        <v>30.539999999999054</v>
      </c>
      <c r="K66" s="321">
        <f t="shared" si="4"/>
        <v>389.3600000000006</v>
      </c>
      <c r="L66" s="321">
        <f t="shared" si="4"/>
        <v>9735.04999999996</v>
      </c>
      <c r="M66" s="321">
        <f t="shared" si="4"/>
        <v>45.039999999999054</v>
      </c>
      <c r="N66" s="321">
        <f t="shared" si="4"/>
        <v>4446.370000000024</v>
      </c>
      <c r="O66" s="321">
        <f t="shared" si="4"/>
        <v>476.1800000000003</v>
      </c>
      <c r="P66" s="321">
        <f t="shared" si="4"/>
        <v>-110.74999999999909</v>
      </c>
      <c r="Q66" s="321">
        <f t="shared" si="4"/>
        <v>0</v>
      </c>
      <c r="R66" s="322">
        <f t="shared" si="4"/>
        <v>53380.210000000196</v>
      </c>
    </row>
    <row r="67" spans="1:18" ht="12.75">
      <c r="A67" s="299" t="s">
        <v>155</v>
      </c>
      <c r="B67" s="300" t="s">
        <v>156</v>
      </c>
      <c r="C67" s="301">
        <v>60</v>
      </c>
      <c r="D67" s="302">
        <v>0</v>
      </c>
      <c r="E67" s="302">
        <v>0</v>
      </c>
      <c r="F67" s="302">
        <v>0</v>
      </c>
      <c r="G67" s="302">
        <v>1563.66</v>
      </c>
      <c r="H67" s="302">
        <v>122.75</v>
      </c>
      <c r="I67" s="302">
        <v>0</v>
      </c>
      <c r="J67" s="302">
        <v>0</v>
      </c>
      <c r="K67" s="302">
        <v>0</v>
      </c>
      <c r="L67" s="302">
        <v>0</v>
      </c>
      <c r="M67" s="302">
        <v>0</v>
      </c>
      <c r="N67" s="302">
        <v>232.56</v>
      </c>
      <c r="O67" s="302">
        <v>0</v>
      </c>
      <c r="P67" s="302">
        <v>0</v>
      </c>
      <c r="Q67" s="302">
        <v>0</v>
      </c>
      <c r="R67" s="308">
        <f>SUM(D67:Q67)</f>
        <v>1918.97</v>
      </c>
    </row>
    <row r="68" spans="1:18" ht="12.75">
      <c r="A68" s="304" t="s">
        <v>157</v>
      </c>
      <c r="B68" s="305" t="s">
        <v>158</v>
      </c>
      <c r="C68" s="306">
        <v>61</v>
      </c>
      <c r="D68" s="307">
        <v>0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07">
        <v>0</v>
      </c>
      <c r="K68" s="307">
        <v>0</v>
      </c>
      <c r="L68" s="307">
        <v>0</v>
      </c>
      <c r="M68" s="307">
        <v>0</v>
      </c>
      <c r="N68" s="307">
        <v>0</v>
      </c>
      <c r="O68" s="307">
        <v>0</v>
      </c>
      <c r="P68" s="307">
        <v>0</v>
      </c>
      <c r="Q68" s="307">
        <v>0</v>
      </c>
      <c r="R68" s="308">
        <f>SUM(D68:Q68)</f>
        <v>0</v>
      </c>
    </row>
    <row r="69" spans="1:18" ht="13.5" thickBot="1">
      <c r="A69" s="323"/>
      <c r="B69" s="324" t="s">
        <v>159</v>
      </c>
      <c r="C69" s="325">
        <v>62</v>
      </c>
      <c r="D69" s="326">
        <f aca="true" t="shared" si="5" ref="D69:R69">D66-D67-D68</f>
        <v>11075.940000000002</v>
      </c>
      <c r="E69" s="326">
        <f t="shared" si="5"/>
        <v>18383.630000000005</v>
      </c>
      <c r="F69" s="326">
        <f t="shared" si="5"/>
        <v>2846.2700000000004</v>
      </c>
      <c r="G69" s="326">
        <f t="shared" si="5"/>
        <v>2754.1599999999926</v>
      </c>
      <c r="H69" s="326">
        <f t="shared" si="5"/>
        <v>654.2799999999988</v>
      </c>
      <c r="I69" s="326">
        <f t="shared" si="5"/>
        <v>967.7300000000105</v>
      </c>
      <c r="J69" s="326">
        <f t="shared" si="5"/>
        <v>30.539999999999054</v>
      </c>
      <c r="K69" s="326">
        <f t="shared" si="5"/>
        <v>389.3600000000006</v>
      </c>
      <c r="L69" s="326">
        <f t="shared" si="5"/>
        <v>9735.04999999996</v>
      </c>
      <c r="M69" s="326">
        <f t="shared" si="5"/>
        <v>45.039999999999054</v>
      </c>
      <c r="N69" s="326">
        <f t="shared" si="5"/>
        <v>4213.810000000024</v>
      </c>
      <c r="O69" s="326">
        <f t="shared" si="5"/>
        <v>476.1800000000003</v>
      </c>
      <c r="P69" s="326">
        <f t="shared" si="5"/>
        <v>-110.74999999999909</v>
      </c>
      <c r="Q69" s="326">
        <f t="shared" si="5"/>
        <v>0</v>
      </c>
      <c r="R69" s="327">
        <f t="shared" si="5"/>
        <v>51461.240000000194</v>
      </c>
    </row>
  </sheetData>
  <printOptions horizontalCentered="1"/>
  <pageMargins left="0" right="0" top="0.5905511811023623" bottom="0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0"/>
  <sheetViews>
    <sheetView zoomScale="75" zoomScaleNormal="75" workbookViewId="0" topLeftCell="A32">
      <selection activeCell="M42" sqref="M42"/>
    </sheetView>
  </sheetViews>
  <sheetFormatPr defaultColWidth="9.140625" defaultRowHeight="12.75"/>
  <cols>
    <col min="1" max="1" width="6.7109375" style="103" customWidth="1"/>
    <col min="2" max="2" width="43.00390625" style="103" customWidth="1"/>
    <col min="3" max="3" width="6.421875" style="103" bestFit="1" customWidth="1"/>
    <col min="4" max="10" width="7.28125" style="103" customWidth="1"/>
    <col min="11" max="11" width="11.140625" style="103" bestFit="1" customWidth="1"/>
    <col min="12" max="16384" width="9.140625" style="103" customWidth="1"/>
  </cols>
  <sheetData>
    <row r="1" spans="1:9" ht="15.75">
      <c r="A1" s="98"/>
      <c r="B1" s="99"/>
      <c r="C1" s="100"/>
      <c r="D1" s="100"/>
      <c r="E1" s="100"/>
      <c r="F1" s="101"/>
      <c r="G1" s="100"/>
      <c r="H1" s="100"/>
      <c r="I1" s="102"/>
    </row>
    <row r="2" spans="1:9" ht="15.75">
      <c r="A2" s="104" t="s">
        <v>321</v>
      </c>
      <c r="B2" s="99"/>
      <c r="C2" s="99"/>
      <c r="D2" s="99"/>
      <c r="E2" s="99"/>
      <c r="F2" s="101"/>
      <c r="G2" s="99"/>
      <c r="H2" s="99"/>
      <c r="I2" s="105"/>
    </row>
    <row r="3" spans="1:8" ht="15.75">
      <c r="A3" s="104"/>
      <c r="B3" s="104"/>
      <c r="C3" s="104"/>
      <c r="D3" s="104"/>
      <c r="E3" s="104"/>
      <c r="F3" s="106"/>
      <c r="G3" s="104"/>
      <c r="H3" s="104"/>
    </row>
    <row r="4" ht="15.75">
      <c r="K4" s="107" t="s">
        <v>316</v>
      </c>
    </row>
    <row r="6" spans="1:11" ht="12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6.5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10" t="s">
        <v>36</v>
      </c>
    </row>
    <row r="8" spans="1:11" ht="13.5" thickBot="1">
      <c r="A8" s="294" t="s">
        <v>37</v>
      </c>
      <c r="B8" s="295" t="s">
        <v>38</v>
      </c>
      <c r="C8" s="296" t="s">
        <v>39</v>
      </c>
      <c r="D8" s="296" t="s">
        <v>40</v>
      </c>
      <c r="E8" s="296" t="s">
        <v>41</v>
      </c>
      <c r="F8" s="296" t="s">
        <v>299</v>
      </c>
      <c r="G8" s="296" t="s">
        <v>300</v>
      </c>
      <c r="H8" s="296" t="s">
        <v>301</v>
      </c>
      <c r="I8" s="296" t="s">
        <v>42</v>
      </c>
      <c r="J8" s="296" t="s">
        <v>43</v>
      </c>
      <c r="K8" s="298" t="s">
        <v>166</v>
      </c>
    </row>
    <row r="9" spans="1:11" ht="12.75">
      <c r="A9" s="299" t="s">
        <v>44</v>
      </c>
      <c r="B9" s="300" t="s">
        <v>45</v>
      </c>
      <c r="C9" s="301">
        <v>1</v>
      </c>
      <c r="D9" s="328">
        <v>73.12</v>
      </c>
      <c r="E9" s="328">
        <v>3.79</v>
      </c>
      <c r="F9" s="328">
        <v>357.7</v>
      </c>
      <c r="G9" s="328">
        <v>132.12</v>
      </c>
      <c r="H9" s="328">
        <v>185.7</v>
      </c>
      <c r="I9" s="328">
        <v>1331.71</v>
      </c>
      <c r="J9" s="328">
        <v>555.04</v>
      </c>
      <c r="K9" s="303">
        <f>SUM(D9:J9)</f>
        <v>2639.1800000000003</v>
      </c>
    </row>
    <row r="10" spans="1:11" ht="12.75">
      <c r="A10" s="304" t="s">
        <v>46</v>
      </c>
      <c r="B10" s="305" t="s">
        <v>47</v>
      </c>
      <c r="C10" s="306">
        <v>2</v>
      </c>
      <c r="D10" s="329">
        <v>179.08</v>
      </c>
      <c r="E10" s="329">
        <v>0.02</v>
      </c>
      <c r="F10" s="329">
        <v>77.08</v>
      </c>
      <c r="G10" s="329">
        <v>10.04</v>
      </c>
      <c r="H10" s="329">
        <v>0</v>
      </c>
      <c r="I10" s="329">
        <v>736.42</v>
      </c>
      <c r="J10" s="329">
        <v>132.28</v>
      </c>
      <c r="K10" s="308">
        <f aca="true" t="shared" si="0" ref="K10:K38">SUM(D10:J10)</f>
        <v>1134.92</v>
      </c>
    </row>
    <row r="11" spans="1:11" ht="12.75">
      <c r="A11" s="304" t="s">
        <v>48</v>
      </c>
      <c r="B11" s="305" t="s">
        <v>49</v>
      </c>
      <c r="C11" s="306">
        <v>3</v>
      </c>
      <c r="D11" s="329">
        <v>20.42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08">
        <f t="shared" si="0"/>
        <v>20.42</v>
      </c>
    </row>
    <row r="12" spans="1:11" ht="12.75">
      <c r="A12" s="304" t="s">
        <v>50</v>
      </c>
      <c r="B12" s="305" t="s">
        <v>51</v>
      </c>
      <c r="C12" s="306">
        <v>4</v>
      </c>
      <c r="D12" s="329">
        <v>0</v>
      </c>
      <c r="E12" s="329">
        <v>0</v>
      </c>
      <c r="F12" s="329">
        <v>319.46</v>
      </c>
      <c r="G12" s="329">
        <v>0</v>
      </c>
      <c r="H12" s="329">
        <v>0</v>
      </c>
      <c r="I12" s="329">
        <v>86.38</v>
      </c>
      <c r="J12" s="329">
        <v>0</v>
      </c>
      <c r="K12" s="308">
        <f t="shared" si="0"/>
        <v>405.84</v>
      </c>
    </row>
    <row r="13" spans="1:11" ht="12.75">
      <c r="A13" s="304" t="s">
        <v>52</v>
      </c>
      <c r="B13" s="305" t="s">
        <v>53</v>
      </c>
      <c r="C13" s="306">
        <v>5</v>
      </c>
      <c r="D13" s="329">
        <v>40.79</v>
      </c>
      <c r="E13" s="329">
        <v>0</v>
      </c>
      <c r="F13" s="329">
        <v>131.15</v>
      </c>
      <c r="G13" s="329">
        <v>44.76</v>
      </c>
      <c r="H13" s="329">
        <v>0</v>
      </c>
      <c r="I13" s="329">
        <v>126.82</v>
      </c>
      <c r="J13" s="329">
        <v>0</v>
      </c>
      <c r="K13" s="308">
        <f t="shared" si="0"/>
        <v>343.52</v>
      </c>
    </row>
    <row r="14" spans="1:11" ht="12.75">
      <c r="A14" s="304" t="s">
        <v>54</v>
      </c>
      <c r="B14" s="305" t="s">
        <v>55</v>
      </c>
      <c r="C14" s="306">
        <v>6</v>
      </c>
      <c r="D14" s="329">
        <v>0</v>
      </c>
      <c r="E14" s="329">
        <v>0</v>
      </c>
      <c r="F14" s="329">
        <v>1.31</v>
      </c>
      <c r="G14" s="329">
        <v>107.33</v>
      </c>
      <c r="H14" s="329">
        <v>0.31</v>
      </c>
      <c r="I14" s="329">
        <v>0.26</v>
      </c>
      <c r="J14" s="329">
        <v>0</v>
      </c>
      <c r="K14" s="308">
        <f t="shared" si="0"/>
        <v>109.21000000000001</v>
      </c>
    </row>
    <row r="15" spans="1:11" ht="12.75">
      <c r="A15" s="304" t="s">
        <v>56</v>
      </c>
      <c r="B15" s="305" t="s">
        <v>57</v>
      </c>
      <c r="C15" s="306">
        <v>7</v>
      </c>
      <c r="D15" s="329">
        <v>0</v>
      </c>
      <c r="E15" s="329">
        <v>0</v>
      </c>
      <c r="F15" s="329">
        <v>1.69</v>
      </c>
      <c r="G15" s="329">
        <v>1.87</v>
      </c>
      <c r="H15" s="329">
        <v>0</v>
      </c>
      <c r="I15" s="329">
        <v>0</v>
      </c>
      <c r="J15" s="329">
        <v>0</v>
      </c>
      <c r="K15" s="308">
        <f t="shared" si="0"/>
        <v>3.56</v>
      </c>
    </row>
    <row r="16" spans="1:11" ht="12.75">
      <c r="A16" s="304" t="s">
        <v>58</v>
      </c>
      <c r="B16" s="305" t="s">
        <v>59</v>
      </c>
      <c r="C16" s="306">
        <v>8</v>
      </c>
      <c r="D16" s="329">
        <v>397.05</v>
      </c>
      <c r="E16" s="329">
        <v>0</v>
      </c>
      <c r="F16" s="329">
        <v>108.38</v>
      </c>
      <c r="G16" s="329">
        <v>575.44</v>
      </c>
      <c r="H16" s="329">
        <v>5.29</v>
      </c>
      <c r="I16" s="329">
        <v>444.48</v>
      </c>
      <c r="J16" s="329">
        <v>1212.78</v>
      </c>
      <c r="K16" s="308">
        <f t="shared" si="0"/>
        <v>2743.42</v>
      </c>
    </row>
    <row r="17" spans="1:11" ht="12.75">
      <c r="A17" s="304" t="s">
        <v>60</v>
      </c>
      <c r="B17" s="305" t="s">
        <v>61</v>
      </c>
      <c r="C17" s="306">
        <v>9</v>
      </c>
      <c r="D17" s="329">
        <v>559.58</v>
      </c>
      <c r="E17" s="329">
        <v>20.32</v>
      </c>
      <c r="F17" s="329">
        <v>769.7</v>
      </c>
      <c r="G17" s="329">
        <v>1987.86</v>
      </c>
      <c r="H17" s="329">
        <v>3.29</v>
      </c>
      <c r="I17" s="329">
        <v>1865.03</v>
      </c>
      <c r="J17" s="329">
        <v>760.44</v>
      </c>
      <c r="K17" s="308">
        <f t="shared" si="0"/>
        <v>5966.219999999999</v>
      </c>
    </row>
    <row r="18" spans="1:11" ht="12.75">
      <c r="A18" s="304" t="s">
        <v>62</v>
      </c>
      <c r="B18" s="305" t="s">
        <v>63</v>
      </c>
      <c r="C18" s="306">
        <v>10</v>
      </c>
      <c r="D18" s="329">
        <v>188.74</v>
      </c>
      <c r="E18" s="329">
        <v>10.78</v>
      </c>
      <c r="F18" s="329">
        <v>255.68</v>
      </c>
      <c r="G18" s="329">
        <v>544.07</v>
      </c>
      <c r="H18" s="329">
        <v>0</v>
      </c>
      <c r="I18" s="329">
        <v>645.26</v>
      </c>
      <c r="J18" s="329">
        <v>253.94</v>
      </c>
      <c r="K18" s="308">
        <f t="shared" si="0"/>
        <v>1898.4700000000003</v>
      </c>
    </row>
    <row r="19" spans="1:11" ht="12.75">
      <c r="A19" s="304" t="s">
        <v>64</v>
      </c>
      <c r="B19" s="305" t="s">
        <v>65</v>
      </c>
      <c r="C19" s="306">
        <v>11</v>
      </c>
      <c r="D19" s="329">
        <v>0</v>
      </c>
      <c r="E19" s="329">
        <v>0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  <c r="K19" s="308">
        <f t="shared" si="0"/>
        <v>0</v>
      </c>
    </row>
    <row r="20" spans="1:11" ht="12.75">
      <c r="A20" s="304" t="s">
        <v>66</v>
      </c>
      <c r="B20" s="305" t="s">
        <v>67</v>
      </c>
      <c r="C20" s="306">
        <v>12</v>
      </c>
      <c r="D20" s="329">
        <v>8.27</v>
      </c>
      <c r="E20" s="329">
        <v>0</v>
      </c>
      <c r="F20" s="329">
        <v>14.61</v>
      </c>
      <c r="G20" s="329">
        <v>13.92</v>
      </c>
      <c r="H20" s="329">
        <v>0</v>
      </c>
      <c r="I20" s="329">
        <v>37.11</v>
      </c>
      <c r="J20" s="329">
        <v>10.05</v>
      </c>
      <c r="K20" s="308">
        <f t="shared" si="0"/>
        <v>83.96</v>
      </c>
    </row>
    <row r="21" spans="1:11" ht="12.75">
      <c r="A21" s="304" t="s">
        <v>68</v>
      </c>
      <c r="B21" s="305" t="s">
        <v>69</v>
      </c>
      <c r="C21" s="306">
        <v>13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  <c r="K21" s="308">
        <f t="shared" si="0"/>
        <v>0</v>
      </c>
    </row>
    <row r="22" spans="1:11" ht="12.75">
      <c r="A22" s="304" t="s">
        <v>70</v>
      </c>
      <c r="B22" s="305" t="s">
        <v>71</v>
      </c>
      <c r="C22" s="306">
        <v>14</v>
      </c>
      <c r="D22" s="329">
        <v>0</v>
      </c>
      <c r="E22" s="329">
        <v>5.4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  <c r="K22" s="308">
        <f t="shared" si="0"/>
        <v>5.4</v>
      </c>
    </row>
    <row r="23" spans="1:11" ht="12.75">
      <c r="A23" s="304" t="s">
        <v>72</v>
      </c>
      <c r="B23" s="305" t="s">
        <v>73</v>
      </c>
      <c r="C23" s="306">
        <v>15</v>
      </c>
      <c r="D23" s="329">
        <v>0.89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  <c r="K23" s="308">
        <f t="shared" si="0"/>
        <v>0.89</v>
      </c>
    </row>
    <row r="24" spans="1:11" ht="12.75">
      <c r="A24" s="304" t="s">
        <v>74</v>
      </c>
      <c r="B24" s="305" t="s">
        <v>75</v>
      </c>
      <c r="C24" s="306">
        <v>16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24.35</v>
      </c>
      <c r="J24" s="329">
        <v>0</v>
      </c>
      <c r="K24" s="308">
        <f t="shared" si="0"/>
        <v>24.35</v>
      </c>
    </row>
    <row r="25" spans="1:11" ht="12.75">
      <c r="A25" s="304" t="s">
        <v>76</v>
      </c>
      <c r="B25" s="305" t="s">
        <v>77</v>
      </c>
      <c r="C25" s="306">
        <v>17</v>
      </c>
      <c r="D25" s="329">
        <v>0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08">
        <f t="shared" si="0"/>
        <v>0</v>
      </c>
    </row>
    <row r="26" spans="1:11" ht="12.75">
      <c r="A26" s="304" t="s">
        <v>78</v>
      </c>
      <c r="B26" s="305" t="s">
        <v>79</v>
      </c>
      <c r="C26" s="306">
        <v>18</v>
      </c>
      <c r="D26" s="329">
        <v>0</v>
      </c>
      <c r="E26" s="329">
        <v>0</v>
      </c>
      <c r="F26" s="329">
        <v>0</v>
      </c>
      <c r="G26" s="329">
        <v>0</v>
      </c>
      <c r="H26" s="329">
        <v>0</v>
      </c>
      <c r="I26" s="329">
        <v>0.44</v>
      </c>
      <c r="J26" s="329">
        <v>0</v>
      </c>
      <c r="K26" s="308">
        <f t="shared" si="0"/>
        <v>0.44</v>
      </c>
    </row>
    <row r="27" spans="1:11" ht="12.75">
      <c r="A27" s="304" t="s">
        <v>80</v>
      </c>
      <c r="B27" s="305" t="s">
        <v>81</v>
      </c>
      <c r="C27" s="306">
        <v>19</v>
      </c>
      <c r="D27" s="329">
        <v>0</v>
      </c>
      <c r="E27" s="329">
        <v>0</v>
      </c>
      <c r="F27" s="329">
        <v>0.21</v>
      </c>
      <c r="G27" s="329">
        <v>0</v>
      </c>
      <c r="H27" s="329">
        <v>0</v>
      </c>
      <c r="I27" s="329">
        <v>0</v>
      </c>
      <c r="J27" s="329">
        <v>0</v>
      </c>
      <c r="K27" s="308">
        <f t="shared" si="0"/>
        <v>0.21</v>
      </c>
    </row>
    <row r="28" spans="1:11" ht="12.75">
      <c r="A28" s="304" t="s">
        <v>82</v>
      </c>
      <c r="B28" s="305" t="s">
        <v>83</v>
      </c>
      <c r="C28" s="306">
        <v>20</v>
      </c>
      <c r="D28" s="329">
        <v>0</v>
      </c>
      <c r="E28" s="329">
        <v>0</v>
      </c>
      <c r="F28" s="329">
        <v>0</v>
      </c>
      <c r="G28" s="329">
        <v>0</v>
      </c>
      <c r="H28" s="329">
        <v>0</v>
      </c>
      <c r="I28" s="329">
        <v>0</v>
      </c>
      <c r="J28" s="329">
        <v>0</v>
      </c>
      <c r="K28" s="308">
        <f t="shared" si="0"/>
        <v>0</v>
      </c>
    </row>
    <row r="29" spans="1:11" ht="12.75">
      <c r="A29" s="304" t="s">
        <v>84</v>
      </c>
      <c r="B29" s="305" t="s">
        <v>85</v>
      </c>
      <c r="C29" s="306">
        <v>21</v>
      </c>
      <c r="D29" s="329">
        <v>0</v>
      </c>
      <c r="E29" s="329">
        <v>0</v>
      </c>
      <c r="F29" s="329">
        <v>0</v>
      </c>
      <c r="G29" s="329">
        <v>0</v>
      </c>
      <c r="H29" s="329">
        <v>0</v>
      </c>
      <c r="I29" s="329">
        <v>179.16</v>
      </c>
      <c r="J29" s="329">
        <v>0</v>
      </c>
      <c r="K29" s="308">
        <f t="shared" si="0"/>
        <v>179.16</v>
      </c>
    </row>
    <row r="30" spans="1:11" ht="12.75">
      <c r="A30" s="304" t="s">
        <v>86</v>
      </c>
      <c r="B30" s="305" t="s">
        <v>87</v>
      </c>
      <c r="C30" s="306">
        <v>22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08">
        <f t="shared" si="0"/>
        <v>0</v>
      </c>
    </row>
    <row r="31" spans="1:11" ht="12.75">
      <c r="A31" s="304" t="s">
        <v>88</v>
      </c>
      <c r="B31" s="305" t="s">
        <v>89</v>
      </c>
      <c r="C31" s="306">
        <v>23</v>
      </c>
      <c r="D31" s="329">
        <v>0</v>
      </c>
      <c r="E31" s="329">
        <v>0</v>
      </c>
      <c r="F31" s="329">
        <v>0</v>
      </c>
      <c r="G31" s="329">
        <v>0</v>
      </c>
      <c r="H31" s="329">
        <v>0</v>
      </c>
      <c r="I31" s="329">
        <v>0</v>
      </c>
      <c r="J31" s="329">
        <v>0</v>
      </c>
      <c r="K31" s="308">
        <f t="shared" si="0"/>
        <v>0</v>
      </c>
    </row>
    <row r="32" spans="1:11" ht="12.75">
      <c r="A32" s="304" t="s">
        <v>90</v>
      </c>
      <c r="B32" s="305" t="s">
        <v>91</v>
      </c>
      <c r="C32" s="306">
        <v>24</v>
      </c>
      <c r="D32" s="329">
        <v>42.17</v>
      </c>
      <c r="E32" s="329">
        <v>1</v>
      </c>
      <c r="F32" s="329">
        <v>10.28</v>
      </c>
      <c r="G32" s="329">
        <v>103.68</v>
      </c>
      <c r="H32" s="329">
        <v>0.18</v>
      </c>
      <c r="I32" s="329">
        <v>18.43</v>
      </c>
      <c r="J32" s="329">
        <v>0</v>
      </c>
      <c r="K32" s="308">
        <f t="shared" si="0"/>
        <v>175.74</v>
      </c>
    </row>
    <row r="33" spans="1:11" ht="12.75">
      <c r="A33" s="304" t="s">
        <v>92</v>
      </c>
      <c r="B33" s="305" t="s">
        <v>93</v>
      </c>
      <c r="C33" s="306">
        <v>25</v>
      </c>
      <c r="D33" s="329">
        <v>439.2</v>
      </c>
      <c r="E33" s="329">
        <v>0</v>
      </c>
      <c r="F33" s="329">
        <v>214.5</v>
      </c>
      <c r="G33" s="329">
        <v>17.73</v>
      </c>
      <c r="H33" s="329">
        <v>0</v>
      </c>
      <c r="I33" s="329">
        <v>645.32</v>
      </c>
      <c r="J33" s="329">
        <v>87.08</v>
      </c>
      <c r="K33" s="308">
        <f t="shared" si="0"/>
        <v>1403.83</v>
      </c>
    </row>
    <row r="34" spans="1:11" ht="12.75">
      <c r="A34" s="304" t="s">
        <v>94</v>
      </c>
      <c r="B34" s="305" t="s">
        <v>95</v>
      </c>
      <c r="C34" s="306">
        <v>26</v>
      </c>
      <c r="D34" s="329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08">
        <f t="shared" si="0"/>
        <v>0</v>
      </c>
    </row>
    <row r="35" spans="1:11" ht="12.75">
      <c r="A35" s="304" t="s">
        <v>96</v>
      </c>
      <c r="B35" s="305" t="s">
        <v>97</v>
      </c>
      <c r="C35" s="306">
        <v>27</v>
      </c>
      <c r="D35" s="329">
        <v>0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08">
        <f t="shared" si="0"/>
        <v>0</v>
      </c>
    </row>
    <row r="36" spans="1:11" ht="12.75">
      <c r="A36" s="304" t="s">
        <v>98</v>
      </c>
      <c r="B36" s="305" t="s">
        <v>99</v>
      </c>
      <c r="C36" s="306">
        <v>28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08">
        <f t="shared" si="0"/>
        <v>0</v>
      </c>
    </row>
    <row r="37" spans="1:11" ht="12.75">
      <c r="A37" s="304" t="s">
        <v>100</v>
      </c>
      <c r="B37" s="305" t="s">
        <v>101</v>
      </c>
      <c r="C37" s="306">
        <v>29</v>
      </c>
      <c r="D37" s="329">
        <v>0</v>
      </c>
      <c r="E37" s="329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08">
        <f t="shared" si="0"/>
        <v>0</v>
      </c>
    </row>
    <row r="38" spans="1:11" ht="13.5" thickBot="1">
      <c r="A38" s="309" t="s">
        <v>102</v>
      </c>
      <c r="B38" s="310" t="s">
        <v>103</v>
      </c>
      <c r="C38" s="311">
        <v>30</v>
      </c>
      <c r="D38" s="330">
        <v>0</v>
      </c>
      <c r="E38" s="330">
        <v>0</v>
      </c>
      <c r="F38" s="330">
        <v>0</v>
      </c>
      <c r="G38" s="330">
        <v>0</v>
      </c>
      <c r="H38" s="330">
        <v>0</v>
      </c>
      <c r="I38" s="330">
        <v>0</v>
      </c>
      <c r="J38" s="330">
        <v>0</v>
      </c>
      <c r="K38" s="308">
        <f t="shared" si="0"/>
        <v>0</v>
      </c>
    </row>
    <row r="39" spans="1:11" ht="13.5" thickBot="1">
      <c r="A39" s="313"/>
      <c r="B39" s="314" t="s">
        <v>104</v>
      </c>
      <c r="C39" s="315">
        <v>31</v>
      </c>
      <c r="D39" s="331">
        <f aca="true" t="shared" si="1" ref="D39:K39">SUM(D9:D38)</f>
        <v>1949.3100000000002</v>
      </c>
      <c r="E39" s="331">
        <f t="shared" si="1"/>
        <v>41.309999999999995</v>
      </c>
      <c r="F39" s="331">
        <f t="shared" si="1"/>
        <v>2261.75</v>
      </c>
      <c r="G39" s="331">
        <f t="shared" si="1"/>
        <v>3538.82</v>
      </c>
      <c r="H39" s="331">
        <f t="shared" si="1"/>
        <v>194.76999999999998</v>
      </c>
      <c r="I39" s="331">
        <f t="shared" si="1"/>
        <v>6141.17</v>
      </c>
      <c r="J39" s="331">
        <f t="shared" si="1"/>
        <v>3011.61</v>
      </c>
      <c r="K39" s="317">
        <f t="shared" si="1"/>
        <v>17138.739999999998</v>
      </c>
    </row>
    <row r="40" spans="1:11" ht="12.75">
      <c r="A40" s="299" t="s">
        <v>105</v>
      </c>
      <c r="B40" s="300" t="s">
        <v>106</v>
      </c>
      <c r="C40" s="301">
        <v>32</v>
      </c>
      <c r="D40" s="328">
        <v>0</v>
      </c>
      <c r="E40" s="328">
        <v>0</v>
      </c>
      <c r="F40" s="328">
        <v>1033.01</v>
      </c>
      <c r="G40" s="328">
        <v>1227.84</v>
      </c>
      <c r="H40" s="328">
        <v>0</v>
      </c>
      <c r="I40" s="328">
        <v>0</v>
      </c>
      <c r="J40" s="328">
        <v>0</v>
      </c>
      <c r="K40" s="308">
        <f aca="true" t="shared" si="2" ref="K40:K65">SUM(D40:J40)</f>
        <v>2260.85</v>
      </c>
    </row>
    <row r="41" spans="1:11" ht="12.75">
      <c r="A41" s="304" t="s">
        <v>107</v>
      </c>
      <c r="B41" s="305" t="s">
        <v>108</v>
      </c>
      <c r="C41" s="306">
        <v>33</v>
      </c>
      <c r="D41" s="329">
        <v>1956.19</v>
      </c>
      <c r="E41" s="329">
        <v>220.3</v>
      </c>
      <c r="F41" s="329">
        <v>736.85</v>
      </c>
      <c r="G41" s="329">
        <v>2354.23</v>
      </c>
      <c r="H41" s="329">
        <v>0</v>
      </c>
      <c r="I41" s="329">
        <v>5639.83</v>
      </c>
      <c r="J41" s="329">
        <v>3028.24</v>
      </c>
      <c r="K41" s="308">
        <f t="shared" si="2"/>
        <v>13935.64</v>
      </c>
    </row>
    <row r="42" spans="1:11" ht="12.75">
      <c r="A42" s="304" t="s">
        <v>109</v>
      </c>
      <c r="B42" s="305" t="s">
        <v>110</v>
      </c>
      <c r="C42" s="306">
        <v>34</v>
      </c>
      <c r="D42" s="329">
        <v>0</v>
      </c>
      <c r="E42" s="329">
        <v>76.8</v>
      </c>
      <c r="F42" s="329">
        <v>450.87</v>
      </c>
      <c r="G42" s="329">
        <v>0</v>
      </c>
      <c r="H42" s="329">
        <v>337.66</v>
      </c>
      <c r="I42" s="329">
        <v>92.74</v>
      </c>
      <c r="J42" s="329">
        <v>0</v>
      </c>
      <c r="K42" s="308">
        <f t="shared" si="2"/>
        <v>958.0699999999999</v>
      </c>
    </row>
    <row r="43" spans="1:11" ht="12.75">
      <c r="A43" s="304" t="s">
        <v>111</v>
      </c>
      <c r="B43" s="305" t="s">
        <v>112</v>
      </c>
      <c r="C43" s="306">
        <v>35</v>
      </c>
      <c r="D43" s="329">
        <v>0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08">
        <f t="shared" si="2"/>
        <v>0</v>
      </c>
    </row>
    <row r="44" spans="1:11" ht="12.75">
      <c r="A44" s="304" t="s">
        <v>113</v>
      </c>
      <c r="B44" s="305" t="s">
        <v>114</v>
      </c>
      <c r="C44" s="306">
        <v>36</v>
      </c>
      <c r="D44" s="329">
        <v>0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08">
        <f t="shared" si="2"/>
        <v>0</v>
      </c>
    </row>
    <row r="45" spans="1:11" ht="12.75">
      <c r="A45" s="304" t="s">
        <v>115</v>
      </c>
      <c r="B45" s="305" t="s">
        <v>116</v>
      </c>
      <c r="C45" s="306">
        <v>37</v>
      </c>
      <c r="D45" s="329">
        <v>0</v>
      </c>
      <c r="E45" s="329">
        <v>0</v>
      </c>
      <c r="F45" s="329">
        <v>39.01</v>
      </c>
      <c r="G45" s="329">
        <v>0</v>
      </c>
      <c r="H45" s="329">
        <v>0</v>
      </c>
      <c r="I45" s="329">
        <v>0</v>
      </c>
      <c r="J45" s="329">
        <v>0</v>
      </c>
      <c r="K45" s="308">
        <f t="shared" si="2"/>
        <v>39.01</v>
      </c>
    </row>
    <row r="46" spans="1:11" ht="12.75">
      <c r="A46" s="304" t="s">
        <v>117</v>
      </c>
      <c r="B46" s="305" t="s">
        <v>118</v>
      </c>
      <c r="C46" s="306">
        <v>38</v>
      </c>
      <c r="D46" s="329">
        <v>0</v>
      </c>
      <c r="E46" s="329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08">
        <f t="shared" si="2"/>
        <v>0</v>
      </c>
    </row>
    <row r="47" spans="1:11" ht="12.75">
      <c r="A47" s="304" t="s">
        <v>119</v>
      </c>
      <c r="B47" s="305" t="s">
        <v>120</v>
      </c>
      <c r="C47" s="306">
        <v>39</v>
      </c>
      <c r="D47" s="329">
        <v>0</v>
      </c>
      <c r="E47" s="329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08">
        <f t="shared" si="2"/>
        <v>0</v>
      </c>
    </row>
    <row r="48" spans="1:11" ht="12.75">
      <c r="A48" s="304" t="s">
        <v>121</v>
      </c>
      <c r="B48" s="305" t="s">
        <v>122</v>
      </c>
      <c r="C48" s="306">
        <v>40</v>
      </c>
      <c r="D48" s="329">
        <v>0</v>
      </c>
      <c r="E48" s="329">
        <v>0</v>
      </c>
      <c r="F48" s="329">
        <v>0</v>
      </c>
      <c r="G48" s="329">
        <v>0</v>
      </c>
      <c r="H48" s="329">
        <v>0</v>
      </c>
      <c r="I48" s="329">
        <v>25.46</v>
      </c>
      <c r="J48" s="329">
        <v>0</v>
      </c>
      <c r="K48" s="308">
        <f t="shared" si="2"/>
        <v>25.46</v>
      </c>
    </row>
    <row r="49" spans="1:11" ht="12.75">
      <c r="A49" s="304" t="s">
        <v>123</v>
      </c>
      <c r="B49" s="305" t="s">
        <v>124</v>
      </c>
      <c r="C49" s="306">
        <v>41</v>
      </c>
      <c r="D49" s="329">
        <v>0</v>
      </c>
      <c r="E49" s="329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08">
        <f t="shared" si="2"/>
        <v>0</v>
      </c>
    </row>
    <row r="50" spans="1:11" ht="12.75">
      <c r="A50" s="304" t="s">
        <v>125</v>
      </c>
      <c r="B50" s="305" t="s">
        <v>126</v>
      </c>
      <c r="C50" s="306">
        <v>42</v>
      </c>
      <c r="D50" s="329">
        <v>0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08">
        <f t="shared" si="2"/>
        <v>0</v>
      </c>
    </row>
    <row r="51" spans="1:11" ht="12.75">
      <c r="A51" s="304" t="s">
        <v>127</v>
      </c>
      <c r="B51" s="305" t="s">
        <v>77</v>
      </c>
      <c r="C51" s="306">
        <v>43</v>
      </c>
      <c r="D51" s="329">
        <v>0</v>
      </c>
      <c r="E51" s="329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08">
        <f t="shared" si="2"/>
        <v>0</v>
      </c>
    </row>
    <row r="52" spans="1:11" ht="12.75">
      <c r="A52" s="304" t="s">
        <v>128</v>
      </c>
      <c r="B52" s="305" t="s">
        <v>79</v>
      </c>
      <c r="C52" s="306">
        <v>44</v>
      </c>
      <c r="D52" s="329">
        <v>0</v>
      </c>
      <c r="E52" s="329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08">
        <f t="shared" si="2"/>
        <v>0</v>
      </c>
    </row>
    <row r="53" spans="1:11" ht="12.75">
      <c r="A53" s="304" t="s">
        <v>129</v>
      </c>
      <c r="B53" s="305" t="s">
        <v>130</v>
      </c>
      <c r="C53" s="306">
        <v>45</v>
      </c>
      <c r="D53" s="329">
        <v>0</v>
      </c>
      <c r="E53" s="329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08">
        <f t="shared" si="2"/>
        <v>0</v>
      </c>
    </row>
    <row r="54" spans="1:11" ht="12.75">
      <c r="A54" s="304" t="s">
        <v>131</v>
      </c>
      <c r="B54" s="305" t="s">
        <v>83</v>
      </c>
      <c r="C54" s="306">
        <v>46</v>
      </c>
      <c r="D54" s="329">
        <v>0.81</v>
      </c>
      <c r="E54" s="329">
        <v>0</v>
      </c>
      <c r="F54" s="329">
        <v>10.67</v>
      </c>
      <c r="G54" s="329">
        <v>0</v>
      </c>
      <c r="H54" s="329">
        <v>0</v>
      </c>
      <c r="I54" s="329">
        <v>6.06</v>
      </c>
      <c r="J54" s="329">
        <v>0</v>
      </c>
      <c r="K54" s="308">
        <f t="shared" si="2"/>
        <v>17.54</v>
      </c>
    </row>
    <row r="55" spans="1:11" ht="12.75">
      <c r="A55" s="304" t="s">
        <v>132</v>
      </c>
      <c r="B55" s="305" t="s">
        <v>133</v>
      </c>
      <c r="C55" s="306">
        <v>47</v>
      </c>
      <c r="D55" s="329">
        <v>0</v>
      </c>
      <c r="E55" s="329">
        <v>0</v>
      </c>
      <c r="F55" s="329">
        <v>0</v>
      </c>
      <c r="G55" s="329">
        <v>0</v>
      </c>
      <c r="H55" s="329">
        <v>0</v>
      </c>
      <c r="I55" s="329">
        <v>274.86</v>
      </c>
      <c r="J55" s="329">
        <v>0</v>
      </c>
      <c r="K55" s="308">
        <f t="shared" si="2"/>
        <v>274.86</v>
      </c>
    </row>
    <row r="56" spans="1:11" ht="12.75">
      <c r="A56" s="304">
        <v>648</v>
      </c>
      <c r="B56" s="305" t="s">
        <v>134</v>
      </c>
      <c r="C56" s="306">
        <v>48</v>
      </c>
      <c r="D56" s="329">
        <v>0</v>
      </c>
      <c r="E56" s="329">
        <v>0</v>
      </c>
      <c r="F56" s="329">
        <v>0</v>
      </c>
      <c r="G56" s="329">
        <v>0</v>
      </c>
      <c r="H56" s="329">
        <v>0</v>
      </c>
      <c r="I56" s="329">
        <v>66.19</v>
      </c>
      <c r="J56" s="329">
        <v>0</v>
      </c>
      <c r="K56" s="308">
        <f t="shared" si="2"/>
        <v>66.19</v>
      </c>
    </row>
    <row r="57" spans="1:11" ht="12.75">
      <c r="A57" s="304" t="s">
        <v>135</v>
      </c>
      <c r="B57" s="305" t="s">
        <v>136</v>
      </c>
      <c r="C57" s="306">
        <v>49</v>
      </c>
      <c r="D57" s="329">
        <v>0</v>
      </c>
      <c r="E57" s="329">
        <v>195.34</v>
      </c>
      <c r="F57" s="329">
        <v>5.59</v>
      </c>
      <c r="G57" s="329">
        <v>0</v>
      </c>
      <c r="H57" s="329">
        <v>0</v>
      </c>
      <c r="I57" s="329">
        <v>50.56</v>
      </c>
      <c r="J57" s="329">
        <v>0</v>
      </c>
      <c r="K57" s="308">
        <f t="shared" si="2"/>
        <v>251.49</v>
      </c>
    </row>
    <row r="58" spans="1:11" ht="12.75">
      <c r="A58" s="304" t="s">
        <v>137</v>
      </c>
      <c r="B58" s="305" t="s">
        <v>138</v>
      </c>
      <c r="C58" s="306">
        <v>50</v>
      </c>
      <c r="D58" s="329">
        <v>0</v>
      </c>
      <c r="E58" s="329">
        <v>0</v>
      </c>
      <c r="F58" s="329">
        <v>0</v>
      </c>
      <c r="G58" s="329">
        <v>0</v>
      </c>
      <c r="H58" s="329">
        <v>0</v>
      </c>
      <c r="I58" s="329">
        <v>0</v>
      </c>
      <c r="J58" s="329">
        <v>0</v>
      </c>
      <c r="K58" s="308">
        <f t="shared" si="2"/>
        <v>0</v>
      </c>
    </row>
    <row r="59" spans="1:11" ht="12.75">
      <c r="A59" s="304" t="s">
        <v>139</v>
      </c>
      <c r="B59" s="305" t="s">
        <v>140</v>
      </c>
      <c r="C59" s="306">
        <v>51</v>
      </c>
      <c r="D59" s="329">
        <v>0</v>
      </c>
      <c r="E59" s="329">
        <v>0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08">
        <f t="shared" si="2"/>
        <v>0</v>
      </c>
    </row>
    <row r="60" spans="1:11" ht="12.75">
      <c r="A60" s="304" t="s">
        <v>141</v>
      </c>
      <c r="B60" s="305" t="s">
        <v>142</v>
      </c>
      <c r="C60" s="306">
        <v>52</v>
      </c>
      <c r="D60" s="329">
        <v>0</v>
      </c>
      <c r="E60" s="329">
        <v>0</v>
      </c>
      <c r="F60" s="329">
        <v>0</v>
      </c>
      <c r="G60" s="329">
        <v>0</v>
      </c>
      <c r="H60" s="329">
        <v>0</v>
      </c>
      <c r="I60" s="329">
        <v>0</v>
      </c>
      <c r="J60" s="329">
        <v>0</v>
      </c>
      <c r="K60" s="308">
        <f t="shared" si="2"/>
        <v>0</v>
      </c>
    </row>
    <row r="61" spans="1:11" ht="12.75">
      <c r="A61" s="304" t="s">
        <v>143</v>
      </c>
      <c r="B61" s="305" t="s">
        <v>144</v>
      </c>
      <c r="C61" s="306">
        <v>53</v>
      </c>
      <c r="D61" s="329">
        <v>0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08">
        <f t="shared" si="2"/>
        <v>0</v>
      </c>
    </row>
    <row r="62" spans="1:11" ht="12.75">
      <c r="A62" s="304" t="s">
        <v>145</v>
      </c>
      <c r="B62" s="305" t="s">
        <v>146</v>
      </c>
      <c r="C62" s="306">
        <v>54</v>
      </c>
      <c r="D62" s="329">
        <v>0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08">
        <f t="shared" si="2"/>
        <v>0</v>
      </c>
    </row>
    <row r="63" spans="1:11" ht="12.75">
      <c r="A63" s="304" t="s">
        <v>147</v>
      </c>
      <c r="B63" s="305" t="s">
        <v>148</v>
      </c>
      <c r="C63" s="306">
        <v>55</v>
      </c>
      <c r="D63" s="329">
        <v>0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08">
        <f t="shared" si="2"/>
        <v>0</v>
      </c>
    </row>
    <row r="64" spans="1:11" ht="12.75">
      <c r="A64" s="304" t="s">
        <v>149</v>
      </c>
      <c r="B64" s="305" t="s">
        <v>150</v>
      </c>
      <c r="C64" s="306">
        <v>56</v>
      </c>
      <c r="D64" s="329">
        <v>0</v>
      </c>
      <c r="E64" s="329">
        <v>0</v>
      </c>
      <c r="F64" s="329">
        <v>0</v>
      </c>
      <c r="G64" s="329">
        <v>0</v>
      </c>
      <c r="H64" s="329">
        <v>0</v>
      </c>
      <c r="I64" s="329">
        <v>0</v>
      </c>
      <c r="J64" s="329">
        <v>0</v>
      </c>
      <c r="K64" s="308">
        <f t="shared" si="2"/>
        <v>0</v>
      </c>
    </row>
    <row r="65" spans="1:11" ht="13.5" thickBot="1">
      <c r="A65" s="309" t="s">
        <v>151</v>
      </c>
      <c r="B65" s="310" t="s">
        <v>152</v>
      </c>
      <c r="C65" s="311">
        <v>57</v>
      </c>
      <c r="D65" s="330">
        <v>0</v>
      </c>
      <c r="E65" s="330">
        <v>0</v>
      </c>
      <c r="F65" s="330">
        <v>0</v>
      </c>
      <c r="G65" s="330">
        <v>0</v>
      </c>
      <c r="H65" s="330">
        <v>0</v>
      </c>
      <c r="I65" s="330">
        <v>0</v>
      </c>
      <c r="J65" s="330">
        <v>0</v>
      </c>
      <c r="K65" s="308">
        <f t="shared" si="2"/>
        <v>0</v>
      </c>
    </row>
    <row r="66" spans="1:11" ht="13.5" thickBot="1">
      <c r="A66" s="313"/>
      <c r="B66" s="314" t="s">
        <v>153</v>
      </c>
      <c r="C66" s="315">
        <v>58</v>
      </c>
      <c r="D66" s="331">
        <f aca="true" t="shared" si="3" ref="D66:K66">SUM(D40:D65)</f>
        <v>1957</v>
      </c>
      <c r="E66" s="331">
        <f t="shared" si="3"/>
        <v>492.44000000000005</v>
      </c>
      <c r="F66" s="331">
        <f t="shared" si="3"/>
        <v>2276.0000000000005</v>
      </c>
      <c r="G66" s="331">
        <f t="shared" si="3"/>
        <v>3582.0699999999997</v>
      </c>
      <c r="H66" s="331">
        <f t="shared" si="3"/>
        <v>337.66</v>
      </c>
      <c r="I66" s="331">
        <f t="shared" si="3"/>
        <v>6155.7</v>
      </c>
      <c r="J66" s="331">
        <f t="shared" si="3"/>
        <v>3028.24</v>
      </c>
      <c r="K66" s="317">
        <f t="shared" si="3"/>
        <v>17829.11</v>
      </c>
    </row>
    <row r="67" spans="1:11" ht="13.5" thickBot="1">
      <c r="A67" s="318"/>
      <c r="B67" s="319" t="s">
        <v>154</v>
      </c>
      <c r="C67" s="320">
        <v>59</v>
      </c>
      <c r="D67" s="332">
        <f aca="true" t="shared" si="4" ref="D67:K67">D66-D39</f>
        <v>7.689999999999827</v>
      </c>
      <c r="E67" s="332">
        <f t="shared" si="4"/>
        <v>451.13000000000005</v>
      </c>
      <c r="F67" s="332">
        <f t="shared" si="4"/>
        <v>14.250000000000455</v>
      </c>
      <c r="G67" s="332">
        <f t="shared" si="4"/>
        <v>43.249999999999545</v>
      </c>
      <c r="H67" s="332">
        <f t="shared" si="4"/>
        <v>142.89000000000004</v>
      </c>
      <c r="I67" s="332">
        <f t="shared" si="4"/>
        <v>14.529999999999745</v>
      </c>
      <c r="J67" s="332">
        <f t="shared" si="4"/>
        <v>16.629999999999654</v>
      </c>
      <c r="K67" s="322">
        <f t="shared" si="4"/>
        <v>690.3700000000026</v>
      </c>
    </row>
    <row r="68" spans="1:11" ht="12.75">
      <c r="A68" s="299" t="s">
        <v>155</v>
      </c>
      <c r="B68" s="300" t="s">
        <v>156</v>
      </c>
      <c r="C68" s="301">
        <v>60</v>
      </c>
      <c r="D68" s="328">
        <v>0</v>
      </c>
      <c r="E68" s="328">
        <v>0</v>
      </c>
      <c r="F68" s="328">
        <v>0</v>
      </c>
      <c r="G68" s="328">
        <v>23.84</v>
      </c>
      <c r="H68" s="328">
        <v>0</v>
      </c>
      <c r="I68" s="328">
        <v>0</v>
      </c>
      <c r="J68" s="328">
        <v>0</v>
      </c>
      <c r="K68" s="308">
        <f>SUM(D68:J68)</f>
        <v>23.84</v>
      </c>
    </row>
    <row r="69" spans="1:11" ht="12.75">
      <c r="A69" s="304" t="s">
        <v>157</v>
      </c>
      <c r="B69" s="305" t="s">
        <v>158</v>
      </c>
      <c r="C69" s="306">
        <v>61</v>
      </c>
      <c r="D69" s="329">
        <v>0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08">
        <f>SUM(D69:J69)</f>
        <v>0</v>
      </c>
    </row>
    <row r="70" spans="1:11" ht="13.5" thickBot="1">
      <c r="A70" s="323"/>
      <c r="B70" s="324" t="s">
        <v>159</v>
      </c>
      <c r="C70" s="325">
        <v>62</v>
      </c>
      <c r="D70" s="333">
        <f aca="true" t="shared" si="5" ref="D70:K70">D67-D68-D69</f>
        <v>7.689999999999827</v>
      </c>
      <c r="E70" s="333">
        <f t="shared" si="5"/>
        <v>451.13000000000005</v>
      </c>
      <c r="F70" s="333">
        <f t="shared" si="5"/>
        <v>14.250000000000455</v>
      </c>
      <c r="G70" s="333">
        <f t="shared" si="5"/>
        <v>19.409999999999545</v>
      </c>
      <c r="H70" s="333">
        <f t="shared" si="5"/>
        <v>142.89000000000004</v>
      </c>
      <c r="I70" s="333">
        <f t="shared" si="5"/>
        <v>14.529999999999745</v>
      </c>
      <c r="J70" s="333">
        <f t="shared" si="5"/>
        <v>16.629999999999654</v>
      </c>
      <c r="K70" s="327">
        <f t="shared" si="5"/>
        <v>666.5300000000026</v>
      </c>
    </row>
  </sheetData>
  <printOptions/>
  <pageMargins left="0.5905511811023623" right="0.5905511811023623" top="0.7874015748031497" bottom="0.3937007874015748" header="0.5118110236220472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254"/>
  <sheetViews>
    <sheetView zoomScale="80" zoomScaleNormal="80" workbookViewId="0" topLeftCell="A46">
      <selection activeCell="M80" sqref="M80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7.8515625" style="1" customWidth="1"/>
    <col min="4" max="4" width="13.140625" style="1" customWidth="1"/>
    <col min="5" max="5" width="12.28125" style="1" customWidth="1"/>
    <col min="6" max="6" width="11.421875" style="1" customWidth="1"/>
    <col min="7" max="7" width="11.00390625" style="1" customWidth="1"/>
    <col min="8" max="8" width="11.57421875" style="1" customWidth="1"/>
    <col min="9" max="9" width="11.8515625" style="1" customWidth="1"/>
    <col min="10" max="16384" width="9.140625" style="1" customWidth="1"/>
  </cols>
  <sheetData>
    <row r="1" spans="8:9" ht="15.75">
      <c r="H1" s="2" t="s">
        <v>198</v>
      </c>
      <c r="I1" s="39"/>
    </row>
    <row r="2" ht="15.75">
      <c r="B2" s="3" t="s">
        <v>34</v>
      </c>
    </row>
    <row r="3" ht="13.5" thickBot="1">
      <c r="H3" s="4" t="s">
        <v>1</v>
      </c>
    </row>
    <row r="4" spans="2:11" ht="43.5" customHeight="1" thickBot="1">
      <c r="B4" s="5" t="s">
        <v>3</v>
      </c>
      <c r="C4" s="426" t="s">
        <v>26</v>
      </c>
      <c r="D4" s="427" t="s">
        <v>323</v>
      </c>
      <c r="E4" s="6" t="s">
        <v>324</v>
      </c>
      <c r="F4" s="82" t="s">
        <v>489</v>
      </c>
      <c r="G4" s="5" t="s">
        <v>35</v>
      </c>
      <c r="H4" s="5" t="s">
        <v>325</v>
      </c>
      <c r="I4" s="426" t="s">
        <v>495</v>
      </c>
      <c r="J4" s="7"/>
      <c r="K4" s="7"/>
    </row>
    <row r="5" spans="2:9" ht="13.5" thickBot="1">
      <c r="B5" s="47"/>
      <c r="C5" s="83"/>
      <c r="D5" s="84"/>
      <c r="E5" s="11">
        <v>1</v>
      </c>
      <c r="F5" s="85">
        <v>2</v>
      </c>
      <c r="G5" s="10">
        <v>3</v>
      </c>
      <c r="H5" s="85">
        <v>4</v>
      </c>
      <c r="I5" s="10">
        <v>5</v>
      </c>
    </row>
    <row r="6" spans="2:11" ht="12.75">
      <c r="B6" s="281" t="s">
        <v>4</v>
      </c>
      <c r="C6" s="285">
        <v>911</v>
      </c>
      <c r="D6" s="86">
        <v>544</v>
      </c>
      <c r="E6" s="86">
        <v>544</v>
      </c>
      <c r="F6" s="13"/>
      <c r="G6" s="13"/>
      <c r="H6" s="13">
        <f>E6+F6-G6</f>
        <v>544</v>
      </c>
      <c r="I6" s="14">
        <f>H6-E6</f>
        <v>0</v>
      </c>
      <c r="K6" s="15"/>
    </row>
    <row r="7" spans="2:11" ht="12.75">
      <c r="B7" s="76" t="s">
        <v>5</v>
      </c>
      <c r="C7" s="286">
        <v>911</v>
      </c>
      <c r="D7" s="87"/>
      <c r="E7" s="87">
        <v>9.687</v>
      </c>
      <c r="F7" s="258">
        <v>150</v>
      </c>
      <c r="G7" s="261"/>
      <c r="H7" s="18">
        <f aca="true" t="shared" si="0" ref="H7:H19">E7+F7-G7</f>
        <v>159.687</v>
      </c>
      <c r="I7" s="19">
        <f aca="true" t="shared" si="1" ref="I7:I19">H7-E7</f>
        <v>150</v>
      </c>
      <c r="K7" s="15"/>
    </row>
    <row r="8" spans="2:254" s="58" customFormat="1" ht="12.75">
      <c r="B8" s="282" t="s">
        <v>6</v>
      </c>
      <c r="C8" s="287">
        <v>911</v>
      </c>
      <c r="D8" s="88">
        <v>56.929</v>
      </c>
      <c r="E8" s="88">
        <v>56.929</v>
      </c>
      <c r="F8" s="259"/>
      <c r="G8" s="55"/>
      <c r="H8" s="55">
        <f t="shared" si="0"/>
        <v>56.929</v>
      </c>
      <c r="I8" s="89">
        <f t="shared" si="1"/>
        <v>0</v>
      </c>
      <c r="J8" s="1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2:254" s="58" customFormat="1" ht="12.75">
      <c r="B9" s="282" t="s">
        <v>7</v>
      </c>
      <c r="C9" s="287">
        <v>911</v>
      </c>
      <c r="D9" s="88">
        <v>1709.359</v>
      </c>
      <c r="E9" s="88">
        <v>1997.294</v>
      </c>
      <c r="F9" s="259"/>
      <c r="G9" s="55">
        <v>982.742</v>
      </c>
      <c r="H9" s="55">
        <f t="shared" si="0"/>
        <v>1014.5520000000001</v>
      </c>
      <c r="I9" s="89">
        <f t="shared" si="1"/>
        <v>-982.742</v>
      </c>
      <c r="J9" s="1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2:254" s="58" customFormat="1" ht="12.75">
      <c r="B10" s="282" t="s">
        <v>8</v>
      </c>
      <c r="C10" s="287">
        <v>911</v>
      </c>
      <c r="D10" s="88">
        <v>503.306</v>
      </c>
      <c r="E10" s="88">
        <v>208.769</v>
      </c>
      <c r="F10" s="259">
        <v>400</v>
      </c>
      <c r="G10" s="55">
        <v>344.555</v>
      </c>
      <c r="H10" s="55">
        <f t="shared" si="0"/>
        <v>264.214</v>
      </c>
      <c r="I10" s="89">
        <f t="shared" si="1"/>
        <v>55.44499999999999</v>
      </c>
      <c r="J10" s="1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2:254" s="58" customFormat="1" ht="12.75">
      <c r="B11" s="282" t="s">
        <v>9</v>
      </c>
      <c r="C11" s="287">
        <v>911</v>
      </c>
      <c r="D11" s="88">
        <v>1831.536</v>
      </c>
      <c r="E11" s="88">
        <v>1976.227</v>
      </c>
      <c r="F11" s="259">
        <v>200</v>
      </c>
      <c r="G11" s="55">
        <v>757.521</v>
      </c>
      <c r="H11" s="55">
        <f t="shared" si="0"/>
        <v>1418.706</v>
      </c>
      <c r="I11" s="89">
        <f t="shared" si="1"/>
        <v>-557.5210000000002</v>
      </c>
      <c r="J11" s="1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2:254" s="58" customFormat="1" ht="12.75">
      <c r="B12" s="282" t="s">
        <v>10</v>
      </c>
      <c r="C12" s="287">
        <v>911</v>
      </c>
      <c r="D12" s="88"/>
      <c r="E12" s="88"/>
      <c r="F12" s="259"/>
      <c r="G12" s="55"/>
      <c r="H12" s="90">
        <f t="shared" si="0"/>
        <v>0</v>
      </c>
      <c r="I12" s="91">
        <f t="shared" si="1"/>
        <v>0</v>
      </c>
      <c r="J12" s="1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2:254" s="58" customFormat="1" ht="12.75">
      <c r="B13" s="282" t="s">
        <v>11</v>
      </c>
      <c r="C13" s="287">
        <v>911</v>
      </c>
      <c r="D13" s="88">
        <v>456.776</v>
      </c>
      <c r="E13" s="88">
        <v>456.776</v>
      </c>
      <c r="F13" s="259">
        <v>100</v>
      </c>
      <c r="G13" s="55">
        <v>396.17</v>
      </c>
      <c r="H13" s="55">
        <f t="shared" si="0"/>
        <v>160.60600000000005</v>
      </c>
      <c r="I13" s="89">
        <f t="shared" si="1"/>
        <v>-296.16999999999996</v>
      </c>
      <c r="J13" s="1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254" s="58" customFormat="1" ht="12.75">
      <c r="B14" s="282" t="s">
        <v>12</v>
      </c>
      <c r="C14" s="287">
        <v>911</v>
      </c>
      <c r="D14" s="88">
        <v>244.482</v>
      </c>
      <c r="E14" s="88">
        <v>371.696</v>
      </c>
      <c r="F14" s="259"/>
      <c r="G14" s="55">
        <v>151.226</v>
      </c>
      <c r="H14" s="55">
        <f t="shared" si="0"/>
        <v>220.47000000000003</v>
      </c>
      <c r="I14" s="89">
        <f t="shared" si="1"/>
        <v>-151.226</v>
      </c>
      <c r="J14" s="1"/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2:254" s="58" customFormat="1" ht="12.75">
      <c r="B15" s="283" t="s">
        <v>13</v>
      </c>
      <c r="C15" s="287">
        <v>911</v>
      </c>
      <c r="D15" s="88"/>
      <c r="E15" s="88"/>
      <c r="F15" s="259"/>
      <c r="G15" s="55"/>
      <c r="H15" s="55">
        <f t="shared" si="0"/>
        <v>0</v>
      </c>
      <c r="I15" s="89">
        <f t="shared" si="1"/>
        <v>0</v>
      </c>
      <c r="J15" s="1"/>
      <c r="K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2:254" s="58" customFormat="1" ht="12.75">
      <c r="B16" s="283" t="s">
        <v>14</v>
      </c>
      <c r="C16" s="287">
        <v>911</v>
      </c>
      <c r="D16" s="88">
        <v>980.648</v>
      </c>
      <c r="E16" s="88">
        <v>1086.296</v>
      </c>
      <c r="F16" s="259"/>
      <c r="G16" s="55">
        <v>1033.615</v>
      </c>
      <c r="H16" s="55">
        <f t="shared" si="0"/>
        <v>52.68100000000004</v>
      </c>
      <c r="I16" s="89">
        <f t="shared" si="1"/>
        <v>-1033.615</v>
      </c>
      <c r="J16" s="1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2:254" s="58" customFormat="1" ht="12.75">
      <c r="B17" s="282" t="s">
        <v>15</v>
      </c>
      <c r="C17" s="287">
        <v>911</v>
      </c>
      <c r="D17" s="88">
        <v>199.877</v>
      </c>
      <c r="E17" s="88">
        <v>267.677</v>
      </c>
      <c r="F17" s="259"/>
      <c r="G17" s="55"/>
      <c r="H17" s="55">
        <f t="shared" si="0"/>
        <v>267.677</v>
      </c>
      <c r="I17" s="89">
        <f t="shared" si="1"/>
        <v>0</v>
      </c>
      <c r="J17" s="1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2:254" s="58" customFormat="1" ht="12.75">
      <c r="B18" s="283" t="s">
        <v>16</v>
      </c>
      <c r="C18" s="287">
        <v>911</v>
      </c>
      <c r="D18" s="92"/>
      <c r="E18" s="92"/>
      <c r="F18" s="260"/>
      <c r="G18" s="92"/>
      <c r="H18" s="56">
        <f t="shared" si="0"/>
        <v>0</v>
      </c>
      <c r="I18" s="89">
        <f t="shared" si="1"/>
        <v>0</v>
      </c>
      <c r="J18" s="1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2:254" s="58" customFormat="1" ht="13.5" thickBot="1">
      <c r="B19" s="282" t="s">
        <v>17</v>
      </c>
      <c r="C19" s="287">
        <v>911</v>
      </c>
      <c r="D19" s="88">
        <v>90.352</v>
      </c>
      <c r="E19" s="88">
        <v>90.352</v>
      </c>
      <c r="F19" s="56"/>
      <c r="G19" s="56"/>
      <c r="H19" s="56">
        <f t="shared" si="0"/>
        <v>90.352</v>
      </c>
      <c r="I19" s="89">
        <f t="shared" si="1"/>
        <v>0</v>
      </c>
      <c r="J19" s="1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2:254" s="58" customFormat="1" ht="16.5" customHeight="1" thickBot="1">
      <c r="B20" s="284" t="s">
        <v>24</v>
      </c>
      <c r="C20" s="93">
        <v>911</v>
      </c>
      <c r="D20" s="94">
        <f aca="true" t="shared" si="2" ref="D20:I20">SUM(D6:D19)</f>
        <v>6617.265</v>
      </c>
      <c r="E20" s="94">
        <f t="shared" si="2"/>
        <v>7065.7029999999995</v>
      </c>
      <c r="F20" s="95">
        <f t="shared" si="2"/>
        <v>850</v>
      </c>
      <c r="G20" s="95">
        <f t="shared" si="2"/>
        <v>3665.8290000000006</v>
      </c>
      <c r="H20" s="95">
        <f t="shared" si="2"/>
        <v>4249.874</v>
      </c>
      <c r="I20" s="95">
        <f t="shared" si="2"/>
        <v>-2815.8290000000006</v>
      </c>
      <c r="J20" s="1"/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ht="13.5" thickBot="1">
      <c r="K21" s="15"/>
    </row>
    <row r="22" spans="2:11" ht="43.5" customHeight="1" thickBot="1">
      <c r="B22" s="5" t="s">
        <v>31</v>
      </c>
      <c r="C22" s="426" t="s">
        <v>26</v>
      </c>
      <c r="D22" s="427" t="s">
        <v>323</v>
      </c>
      <c r="E22" s="6" t="s">
        <v>324</v>
      </c>
      <c r="F22" s="82" t="s">
        <v>489</v>
      </c>
      <c r="G22" s="5" t="s">
        <v>35</v>
      </c>
      <c r="H22" s="5" t="s">
        <v>325</v>
      </c>
      <c r="I22" s="426" t="s">
        <v>495</v>
      </c>
      <c r="K22" s="15"/>
    </row>
    <row r="23" spans="2:9" ht="13.5" thickBot="1">
      <c r="B23" s="47"/>
      <c r="C23" s="83"/>
      <c r="D23" s="84"/>
      <c r="E23" s="11">
        <v>1</v>
      </c>
      <c r="F23" s="85">
        <v>2</v>
      </c>
      <c r="G23" s="10">
        <v>3</v>
      </c>
      <c r="H23" s="85">
        <v>4</v>
      </c>
      <c r="I23" s="10">
        <v>5</v>
      </c>
    </row>
    <row r="24" spans="2:11" ht="12.75">
      <c r="B24" s="281" t="s">
        <v>4</v>
      </c>
      <c r="C24" s="285">
        <v>912</v>
      </c>
      <c r="D24" s="86">
        <v>108.468</v>
      </c>
      <c r="E24" s="13">
        <v>164.479</v>
      </c>
      <c r="F24" s="13">
        <v>185.497</v>
      </c>
      <c r="G24" s="13">
        <v>130.704</v>
      </c>
      <c r="H24" s="13">
        <f aca="true" t="shared" si="3" ref="H24:H37">E24+F24-G24</f>
        <v>219.272</v>
      </c>
      <c r="I24" s="14">
        <f aca="true" t="shared" si="4" ref="I24:I37">H24-E24</f>
        <v>54.79299999999998</v>
      </c>
      <c r="K24" s="15"/>
    </row>
    <row r="25" spans="2:11" ht="12.75">
      <c r="B25" s="76" t="s">
        <v>5</v>
      </c>
      <c r="C25" s="286">
        <v>912</v>
      </c>
      <c r="D25" s="87">
        <v>240.939</v>
      </c>
      <c r="E25" s="18">
        <v>494.194</v>
      </c>
      <c r="F25" s="18">
        <v>533.813</v>
      </c>
      <c r="G25" s="18">
        <v>386.02</v>
      </c>
      <c r="H25" s="18">
        <f t="shared" si="3"/>
        <v>641.9870000000001</v>
      </c>
      <c r="I25" s="19">
        <f t="shared" si="4"/>
        <v>147.79300000000006</v>
      </c>
      <c r="K25" s="15"/>
    </row>
    <row r="26" spans="2:254" s="58" customFormat="1" ht="12.75">
      <c r="B26" s="282" t="s">
        <v>6</v>
      </c>
      <c r="C26" s="287">
        <v>912</v>
      </c>
      <c r="D26" s="88">
        <v>68.998</v>
      </c>
      <c r="E26" s="55">
        <v>68.998</v>
      </c>
      <c r="F26" s="55">
        <v>18.387</v>
      </c>
      <c r="G26" s="55"/>
      <c r="H26" s="55">
        <f t="shared" si="3"/>
        <v>87.385</v>
      </c>
      <c r="I26" s="89">
        <f t="shared" si="4"/>
        <v>18.387</v>
      </c>
      <c r="J26" s="1"/>
      <c r="K26" s="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2:254" s="58" customFormat="1" ht="12.75">
      <c r="B27" s="282" t="s">
        <v>7</v>
      </c>
      <c r="C27" s="287">
        <v>912</v>
      </c>
      <c r="D27" s="88">
        <v>644.855</v>
      </c>
      <c r="E27" s="55">
        <v>605.866</v>
      </c>
      <c r="F27" s="55">
        <v>880.562</v>
      </c>
      <c r="G27" s="55">
        <v>924.103</v>
      </c>
      <c r="H27" s="55">
        <f t="shared" si="3"/>
        <v>562.3249999999999</v>
      </c>
      <c r="I27" s="89">
        <f t="shared" si="4"/>
        <v>-43.541000000000054</v>
      </c>
      <c r="J27" s="1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2:254" s="58" customFormat="1" ht="12.75">
      <c r="B28" s="282" t="s">
        <v>8</v>
      </c>
      <c r="C28" s="287">
        <v>912</v>
      </c>
      <c r="D28" s="88">
        <v>663.161</v>
      </c>
      <c r="E28" s="55">
        <v>864.196</v>
      </c>
      <c r="F28" s="55">
        <v>716.795</v>
      </c>
      <c r="G28" s="55">
        <v>867.482</v>
      </c>
      <c r="H28" s="55">
        <f t="shared" si="3"/>
        <v>713.509</v>
      </c>
      <c r="I28" s="89">
        <f t="shared" si="4"/>
        <v>-150.687</v>
      </c>
      <c r="J28" s="1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2:254" s="58" customFormat="1" ht="12.75">
      <c r="B29" s="282" t="s">
        <v>9</v>
      </c>
      <c r="C29" s="287">
        <v>912</v>
      </c>
      <c r="D29" s="88">
        <v>755.287</v>
      </c>
      <c r="E29" s="55">
        <v>651.884</v>
      </c>
      <c r="F29" s="55">
        <v>334.909</v>
      </c>
      <c r="G29" s="55">
        <v>560.035</v>
      </c>
      <c r="H29" s="55">
        <f t="shared" si="3"/>
        <v>426.75800000000004</v>
      </c>
      <c r="I29" s="89">
        <f t="shared" si="4"/>
        <v>-225.12599999999998</v>
      </c>
      <c r="J29" s="1"/>
      <c r="K29" s="1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2:254" s="58" customFormat="1" ht="12.75">
      <c r="B30" s="282" t="s">
        <v>10</v>
      </c>
      <c r="C30" s="287">
        <v>912</v>
      </c>
      <c r="D30" s="88">
        <v>35.7</v>
      </c>
      <c r="E30" s="55">
        <v>21.145</v>
      </c>
      <c r="F30" s="55">
        <v>78.94</v>
      </c>
      <c r="G30" s="55">
        <v>57.399</v>
      </c>
      <c r="H30" s="55">
        <f t="shared" si="3"/>
        <v>42.68599999999999</v>
      </c>
      <c r="I30" s="89">
        <f t="shared" si="4"/>
        <v>21.540999999999993</v>
      </c>
      <c r="J30" s="1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2:254" s="58" customFormat="1" ht="12.75">
      <c r="B31" s="282" t="s">
        <v>11</v>
      </c>
      <c r="C31" s="287">
        <v>912</v>
      </c>
      <c r="D31" s="88">
        <v>195.747</v>
      </c>
      <c r="E31" s="55">
        <v>224.641</v>
      </c>
      <c r="F31" s="55">
        <v>434.832</v>
      </c>
      <c r="G31" s="55">
        <v>333.115</v>
      </c>
      <c r="H31" s="55">
        <f t="shared" si="3"/>
        <v>326.35799999999995</v>
      </c>
      <c r="I31" s="89">
        <f t="shared" si="4"/>
        <v>101.71699999999996</v>
      </c>
      <c r="J31" s="1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2:254" s="58" customFormat="1" ht="12.75">
      <c r="B32" s="282" t="s">
        <v>12</v>
      </c>
      <c r="C32" s="287">
        <v>912</v>
      </c>
      <c r="D32" s="88">
        <v>227.33</v>
      </c>
      <c r="E32" s="55">
        <v>99.246</v>
      </c>
      <c r="F32" s="55">
        <v>685.761</v>
      </c>
      <c r="G32" s="55">
        <v>673.515</v>
      </c>
      <c r="H32" s="55">
        <f t="shared" si="3"/>
        <v>111.49199999999996</v>
      </c>
      <c r="I32" s="89">
        <f t="shared" si="4"/>
        <v>12.245999999999967</v>
      </c>
      <c r="J32" s="1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2:254" s="58" customFormat="1" ht="12.75">
      <c r="B33" s="283" t="s">
        <v>13</v>
      </c>
      <c r="C33" s="287">
        <v>912</v>
      </c>
      <c r="D33" s="88"/>
      <c r="E33" s="55"/>
      <c r="F33" s="55"/>
      <c r="G33" s="55"/>
      <c r="H33" s="55">
        <f t="shared" si="3"/>
        <v>0</v>
      </c>
      <c r="I33" s="89">
        <f t="shared" si="4"/>
        <v>0</v>
      </c>
      <c r="J33" s="1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2:254" s="58" customFormat="1" ht="12.75">
      <c r="B34" s="283" t="s">
        <v>14</v>
      </c>
      <c r="C34" s="287">
        <v>912</v>
      </c>
      <c r="D34" s="88">
        <v>251.078</v>
      </c>
      <c r="E34" s="55">
        <v>281.553</v>
      </c>
      <c r="F34" s="55">
        <v>536.679</v>
      </c>
      <c r="G34" s="55">
        <v>235.923</v>
      </c>
      <c r="H34" s="55">
        <f t="shared" si="3"/>
        <v>582.309</v>
      </c>
      <c r="I34" s="89">
        <f t="shared" si="4"/>
        <v>300.756</v>
      </c>
      <c r="J34" s="1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2:254" s="58" customFormat="1" ht="12.75">
      <c r="B35" s="282" t="s">
        <v>15</v>
      </c>
      <c r="C35" s="287">
        <v>912</v>
      </c>
      <c r="D35" s="88">
        <v>28.151</v>
      </c>
      <c r="E35" s="55">
        <v>30.072</v>
      </c>
      <c r="F35" s="55">
        <v>29.18</v>
      </c>
      <c r="G35" s="55">
        <v>21.831</v>
      </c>
      <c r="H35" s="55">
        <f t="shared" si="3"/>
        <v>37.42099999999999</v>
      </c>
      <c r="I35" s="89">
        <f t="shared" si="4"/>
        <v>7.348999999999993</v>
      </c>
      <c r="J35" s="1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2:254" s="58" customFormat="1" ht="12.75">
      <c r="B36" s="283" t="s">
        <v>16</v>
      </c>
      <c r="C36" s="287">
        <v>912</v>
      </c>
      <c r="D36" s="88">
        <v>31.156</v>
      </c>
      <c r="E36" s="55">
        <v>29.398</v>
      </c>
      <c r="F36" s="55">
        <v>41.832</v>
      </c>
      <c r="G36" s="55">
        <v>48.548</v>
      </c>
      <c r="H36" s="56">
        <f t="shared" si="3"/>
        <v>22.682000000000002</v>
      </c>
      <c r="I36" s="89">
        <f t="shared" si="4"/>
        <v>-6.7159999999999975</v>
      </c>
      <c r="J36" s="1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2:254" s="58" customFormat="1" ht="13.5" thickBot="1">
      <c r="B37" s="282" t="s">
        <v>17</v>
      </c>
      <c r="C37" s="287">
        <v>912</v>
      </c>
      <c r="D37" s="88">
        <v>70.891</v>
      </c>
      <c r="E37" s="55">
        <v>67.837</v>
      </c>
      <c r="F37" s="55">
        <v>47.684</v>
      </c>
      <c r="G37" s="55">
        <v>49.267</v>
      </c>
      <c r="H37" s="56">
        <f t="shared" si="3"/>
        <v>66.25399999999999</v>
      </c>
      <c r="I37" s="89">
        <f t="shared" si="4"/>
        <v>-1.5830000000000126</v>
      </c>
      <c r="J37" s="1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2:254" s="58" customFormat="1" ht="13.5" thickBot="1">
      <c r="B38" s="284" t="s">
        <v>24</v>
      </c>
      <c r="C38" s="93">
        <v>912</v>
      </c>
      <c r="D38" s="94">
        <f aca="true" t="shared" si="5" ref="D38:I38">SUM(D24:D37)</f>
        <v>3321.760999999999</v>
      </c>
      <c r="E38" s="95">
        <f t="shared" si="5"/>
        <v>3603.5090000000005</v>
      </c>
      <c r="F38" s="95">
        <f t="shared" si="5"/>
        <v>4524.871000000001</v>
      </c>
      <c r="G38" s="95">
        <f t="shared" si="5"/>
        <v>4287.941999999999</v>
      </c>
      <c r="H38" s="95">
        <f t="shared" si="5"/>
        <v>3840.4379999999996</v>
      </c>
      <c r="I38" s="95">
        <f t="shared" si="5"/>
        <v>236.92899999999986</v>
      </c>
      <c r="J38" s="1"/>
      <c r="K38" s="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ht="13.5" thickBot="1">
      <c r="K39" s="15"/>
    </row>
    <row r="40" spans="2:11" ht="43.5" customHeight="1" thickBot="1">
      <c r="B40" s="5" t="s">
        <v>19</v>
      </c>
      <c r="C40" s="426" t="s">
        <v>26</v>
      </c>
      <c r="D40" s="427" t="s">
        <v>323</v>
      </c>
      <c r="E40" s="6" t="s">
        <v>324</v>
      </c>
      <c r="F40" s="82" t="s">
        <v>489</v>
      </c>
      <c r="G40" s="5" t="s">
        <v>35</v>
      </c>
      <c r="H40" s="5" t="s">
        <v>325</v>
      </c>
      <c r="I40" s="426" t="s">
        <v>495</v>
      </c>
      <c r="K40" s="15"/>
    </row>
    <row r="41" spans="2:9" ht="13.5" thickBot="1">
      <c r="B41" s="47"/>
      <c r="C41" s="83"/>
      <c r="D41" s="84"/>
      <c r="E41" s="11">
        <v>1</v>
      </c>
      <c r="F41" s="85">
        <v>2</v>
      </c>
      <c r="G41" s="10">
        <v>3</v>
      </c>
      <c r="H41" s="85">
        <v>4</v>
      </c>
      <c r="I41" s="10">
        <v>5</v>
      </c>
    </row>
    <row r="42" spans="2:11" ht="12.75">
      <c r="B42" s="281" t="s">
        <v>4</v>
      </c>
      <c r="C42" s="285">
        <v>914</v>
      </c>
      <c r="D42" s="86">
        <v>1318.963</v>
      </c>
      <c r="E42" s="13">
        <v>1755.859</v>
      </c>
      <c r="F42" s="13">
        <v>371.23</v>
      </c>
      <c r="G42" s="13"/>
      <c r="H42" s="13">
        <f aca="true" t="shared" si="6" ref="H42:H55">E42+F42-G42</f>
        <v>2127.089</v>
      </c>
      <c r="I42" s="14">
        <f aca="true" t="shared" si="7" ref="I42:I55">H42-E42</f>
        <v>371.23</v>
      </c>
      <c r="K42" s="15"/>
    </row>
    <row r="43" spans="2:11" ht="12.75">
      <c r="B43" s="76" t="s">
        <v>5</v>
      </c>
      <c r="C43" s="286">
        <v>914</v>
      </c>
      <c r="D43" s="87"/>
      <c r="E43" s="17">
        <v>404.705</v>
      </c>
      <c r="F43" s="18">
        <v>7062.11</v>
      </c>
      <c r="G43" s="18">
        <v>6351.875</v>
      </c>
      <c r="H43" s="18">
        <f t="shared" si="6"/>
        <v>1114.9399999999996</v>
      </c>
      <c r="I43" s="19">
        <f t="shared" si="7"/>
        <v>710.2349999999997</v>
      </c>
      <c r="K43" s="15"/>
    </row>
    <row r="44" spans="2:254" s="58" customFormat="1" ht="12.75">
      <c r="B44" s="282" t="s">
        <v>6</v>
      </c>
      <c r="C44" s="287">
        <v>914</v>
      </c>
      <c r="D44" s="88">
        <v>19.419</v>
      </c>
      <c r="E44" s="55">
        <v>19.491</v>
      </c>
      <c r="F44" s="55">
        <v>12.452</v>
      </c>
      <c r="G44" s="55"/>
      <c r="H44" s="55">
        <f t="shared" si="6"/>
        <v>31.942999999999998</v>
      </c>
      <c r="I44" s="89">
        <f t="shared" si="7"/>
        <v>12.451999999999998</v>
      </c>
      <c r="J44" s="1"/>
      <c r="K44" s="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2:254" s="58" customFormat="1" ht="12.75">
      <c r="B45" s="282" t="s">
        <v>7</v>
      </c>
      <c r="C45" s="287">
        <v>914</v>
      </c>
      <c r="D45" s="88">
        <v>7047.49</v>
      </c>
      <c r="E45" s="55">
        <v>8507.921</v>
      </c>
      <c r="F45" s="55">
        <v>1995.822</v>
      </c>
      <c r="G45" s="55">
        <v>2607.334</v>
      </c>
      <c r="H45" s="55">
        <f t="shared" si="6"/>
        <v>7896.409000000001</v>
      </c>
      <c r="I45" s="89">
        <f t="shared" si="7"/>
        <v>-611.5119999999997</v>
      </c>
      <c r="J45" s="1"/>
      <c r="K45" s="1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2:254" s="58" customFormat="1" ht="12.75">
      <c r="B46" s="282" t="s">
        <v>8</v>
      </c>
      <c r="C46" s="287">
        <v>914</v>
      </c>
      <c r="D46" s="88">
        <v>2159.01</v>
      </c>
      <c r="E46" s="55">
        <v>925.648</v>
      </c>
      <c r="F46" s="55">
        <v>24302.874</v>
      </c>
      <c r="G46" s="55">
        <v>21701.384</v>
      </c>
      <c r="H46" s="55">
        <f t="shared" si="6"/>
        <v>3527.1380000000026</v>
      </c>
      <c r="I46" s="89">
        <f t="shared" si="7"/>
        <v>2601.4900000000025</v>
      </c>
      <c r="J46" s="1"/>
      <c r="K46" s="1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2:254" s="58" customFormat="1" ht="12.75">
      <c r="B47" s="282" t="s">
        <v>9</v>
      </c>
      <c r="C47" s="287">
        <v>914</v>
      </c>
      <c r="D47" s="88">
        <v>2990.955</v>
      </c>
      <c r="E47" s="55">
        <v>2991.906</v>
      </c>
      <c r="F47" s="55">
        <v>2577.706</v>
      </c>
      <c r="G47" s="55">
        <v>3319.369</v>
      </c>
      <c r="H47" s="55">
        <f t="shared" si="6"/>
        <v>2250.243</v>
      </c>
      <c r="I47" s="89">
        <f t="shared" si="7"/>
        <v>-741.663</v>
      </c>
      <c r="J47" s="1"/>
      <c r="K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2:254" s="58" customFormat="1" ht="12.75">
      <c r="B48" s="282" t="s">
        <v>10</v>
      </c>
      <c r="C48" s="287">
        <v>914</v>
      </c>
      <c r="D48" s="88">
        <v>93.452</v>
      </c>
      <c r="E48" s="58">
        <v>113.02</v>
      </c>
      <c r="F48" s="55">
        <v>36.606</v>
      </c>
      <c r="G48" s="55"/>
      <c r="H48" s="55">
        <f t="shared" si="6"/>
        <v>149.626</v>
      </c>
      <c r="I48" s="89">
        <f t="shared" si="7"/>
        <v>36.60600000000001</v>
      </c>
      <c r="J48" s="1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2:254" s="58" customFormat="1" ht="12.75">
      <c r="B49" s="282" t="s">
        <v>11</v>
      </c>
      <c r="C49" s="287">
        <v>914</v>
      </c>
      <c r="D49" s="88">
        <v>130959.9</v>
      </c>
      <c r="E49" s="55">
        <v>134064.522</v>
      </c>
      <c r="F49" s="55">
        <v>20542.509</v>
      </c>
      <c r="G49" s="55">
        <v>59973.902</v>
      </c>
      <c r="H49" s="55">
        <f t="shared" si="6"/>
        <v>94633.12899999999</v>
      </c>
      <c r="I49" s="89">
        <f t="shared" si="7"/>
        <v>-39431.39300000001</v>
      </c>
      <c r="J49" s="1"/>
      <c r="K49" s="1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2:254" s="58" customFormat="1" ht="12.75">
      <c r="B50" s="282" t="s">
        <v>12</v>
      </c>
      <c r="C50" s="287">
        <v>914</v>
      </c>
      <c r="D50" s="88">
        <v>979.398</v>
      </c>
      <c r="E50" s="55">
        <v>4190.504</v>
      </c>
      <c r="F50" s="55">
        <v>52.925</v>
      </c>
      <c r="G50" s="55">
        <v>101.545</v>
      </c>
      <c r="H50" s="55">
        <f t="shared" si="6"/>
        <v>4141.884</v>
      </c>
      <c r="I50" s="89">
        <f t="shared" si="7"/>
        <v>-48.61999999999989</v>
      </c>
      <c r="J50" s="1"/>
      <c r="K50" s="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2:254" s="58" customFormat="1" ht="12.75">
      <c r="B51" s="283" t="s">
        <v>13</v>
      </c>
      <c r="C51" s="287">
        <v>914</v>
      </c>
      <c r="D51" s="92">
        <v>211.794</v>
      </c>
      <c r="E51" s="56">
        <v>202.087</v>
      </c>
      <c r="F51" s="96">
        <v>140.154</v>
      </c>
      <c r="G51" s="96">
        <v>8.777</v>
      </c>
      <c r="H51" s="55">
        <f t="shared" si="6"/>
        <v>333.464</v>
      </c>
      <c r="I51" s="89">
        <f t="shared" si="7"/>
        <v>131.377</v>
      </c>
      <c r="J51" s="1"/>
      <c r="K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2:254" s="58" customFormat="1" ht="12.75">
      <c r="B52" s="283" t="s">
        <v>14</v>
      </c>
      <c r="C52" s="287">
        <v>914</v>
      </c>
      <c r="D52" s="88">
        <v>5830.205</v>
      </c>
      <c r="E52" s="55">
        <v>11913.046</v>
      </c>
      <c r="F52" s="55">
        <v>19017.319</v>
      </c>
      <c r="G52" s="55">
        <v>12434.983</v>
      </c>
      <c r="H52" s="55">
        <f t="shared" si="6"/>
        <v>18495.381999999998</v>
      </c>
      <c r="I52" s="89">
        <f t="shared" si="7"/>
        <v>6582.3359999999975</v>
      </c>
      <c r="J52" s="1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2:254" s="58" customFormat="1" ht="12.75">
      <c r="B53" s="282" t="s">
        <v>15</v>
      </c>
      <c r="C53" s="287">
        <v>914</v>
      </c>
      <c r="D53" s="88">
        <v>849.79</v>
      </c>
      <c r="E53" s="55">
        <v>810.516</v>
      </c>
      <c r="F53" s="55">
        <v>114.109</v>
      </c>
      <c r="G53" s="55">
        <v>102.926</v>
      </c>
      <c r="H53" s="55">
        <f t="shared" si="6"/>
        <v>821.699</v>
      </c>
      <c r="I53" s="89">
        <f t="shared" si="7"/>
        <v>11.182999999999993</v>
      </c>
      <c r="J53" s="1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2:254" s="58" customFormat="1" ht="12.75">
      <c r="B54" s="283" t="s">
        <v>16</v>
      </c>
      <c r="C54" s="287">
        <v>914</v>
      </c>
      <c r="D54" s="88">
        <v>174.899</v>
      </c>
      <c r="E54" s="55"/>
      <c r="F54" s="55">
        <v>90.397</v>
      </c>
      <c r="G54" s="55">
        <v>90.397</v>
      </c>
      <c r="H54" s="56">
        <f t="shared" si="6"/>
        <v>0</v>
      </c>
      <c r="I54" s="89">
        <f t="shared" si="7"/>
        <v>0</v>
      </c>
      <c r="J54" s="1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2:254" s="58" customFormat="1" ht="13.5" thickBot="1">
      <c r="B55" s="282" t="s">
        <v>17</v>
      </c>
      <c r="C55" s="287">
        <v>914</v>
      </c>
      <c r="D55" s="88">
        <v>23.197</v>
      </c>
      <c r="E55" s="55">
        <v>23.197</v>
      </c>
      <c r="F55" s="55"/>
      <c r="G55" s="55"/>
      <c r="H55" s="56">
        <f t="shared" si="6"/>
        <v>23.197</v>
      </c>
      <c r="I55" s="89">
        <f t="shared" si="7"/>
        <v>0</v>
      </c>
      <c r="J55" s="1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2:254" s="58" customFormat="1" ht="13.5" thickBot="1">
      <c r="B56" s="284" t="s">
        <v>24</v>
      </c>
      <c r="C56" s="93">
        <v>914</v>
      </c>
      <c r="D56" s="94">
        <f aca="true" t="shared" si="8" ref="D56:I56">SUM(D42:D55)</f>
        <v>152658.47199999995</v>
      </c>
      <c r="E56" s="95">
        <f t="shared" si="8"/>
        <v>165922.42199999996</v>
      </c>
      <c r="F56" s="95">
        <f t="shared" si="8"/>
        <v>76316.21299999999</v>
      </c>
      <c r="G56" s="95">
        <f t="shared" si="8"/>
        <v>106692.492</v>
      </c>
      <c r="H56" s="95">
        <f t="shared" si="8"/>
        <v>135546.14299999998</v>
      </c>
      <c r="I56" s="95">
        <f t="shared" si="8"/>
        <v>-30376.279000000013</v>
      </c>
      <c r="J56" s="1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ht="13.5" thickBot="1">
      <c r="K57" s="15"/>
    </row>
    <row r="58" spans="2:11" ht="43.5" customHeight="1" thickBot="1">
      <c r="B58" s="5" t="s">
        <v>21</v>
      </c>
      <c r="C58" s="426" t="s">
        <v>26</v>
      </c>
      <c r="D58" s="427" t="s">
        <v>323</v>
      </c>
      <c r="E58" s="6" t="s">
        <v>324</v>
      </c>
      <c r="F58" s="82" t="s">
        <v>489</v>
      </c>
      <c r="G58" s="5" t="s">
        <v>35</v>
      </c>
      <c r="H58" s="5" t="s">
        <v>325</v>
      </c>
      <c r="I58" s="426" t="s">
        <v>495</v>
      </c>
      <c r="K58" s="15"/>
    </row>
    <row r="59" spans="2:9" ht="13.5" thickBot="1">
      <c r="B59" s="47"/>
      <c r="C59" s="83"/>
      <c r="D59" s="84"/>
      <c r="E59" s="11">
        <v>1</v>
      </c>
      <c r="F59" s="85">
        <v>2</v>
      </c>
      <c r="G59" s="10">
        <v>3</v>
      </c>
      <c r="H59" s="85">
        <v>4</v>
      </c>
      <c r="I59" s="10">
        <v>5</v>
      </c>
    </row>
    <row r="60" spans="2:11" ht="12.75">
      <c r="B60" s="281" t="s">
        <v>4</v>
      </c>
      <c r="C60" s="285">
        <v>916</v>
      </c>
      <c r="D60" s="86">
        <v>2098.493</v>
      </c>
      <c r="E60" s="13">
        <v>2610.009</v>
      </c>
      <c r="F60" s="13">
        <v>393.543</v>
      </c>
      <c r="G60" s="13"/>
      <c r="H60" s="13">
        <f aca="true" t="shared" si="9" ref="H60:H73">E60+F60-G60</f>
        <v>3003.552</v>
      </c>
      <c r="I60" s="14">
        <f aca="true" t="shared" si="10" ref="I60:I73">H60-E60</f>
        <v>393.5430000000001</v>
      </c>
      <c r="K60" s="15"/>
    </row>
    <row r="61" spans="2:11" ht="12.75">
      <c r="B61" s="76" t="s">
        <v>5</v>
      </c>
      <c r="C61" s="286">
        <v>916</v>
      </c>
      <c r="D61" s="87">
        <v>16556.718</v>
      </c>
      <c r="E61" s="37">
        <v>19258.884</v>
      </c>
      <c r="F61" s="18">
        <v>3384.324</v>
      </c>
      <c r="G61" s="18">
        <v>14833.968</v>
      </c>
      <c r="H61" s="18">
        <f t="shared" si="9"/>
        <v>7809.239999999998</v>
      </c>
      <c r="I61" s="19">
        <f t="shared" si="10"/>
        <v>-11449.644</v>
      </c>
      <c r="K61" s="15"/>
    </row>
    <row r="62" spans="2:254" s="58" customFormat="1" ht="12.75">
      <c r="B62" s="282" t="s">
        <v>6</v>
      </c>
      <c r="C62" s="287">
        <v>916</v>
      </c>
      <c r="D62" s="88">
        <v>6646.464</v>
      </c>
      <c r="E62" s="55">
        <v>6646.464</v>
      </c>
      <c r="F62" s="55">
        <v>1597.16</v>
      </c>
      <c r="G62" s="55">
        <v>844</v>
      </c>
      <c r="H62" s="55">
        <f t="shared" si="9"/>
        <v>7399.624</v>
      </c>
      <c r="I62" s="89">
        <f t="shared" si="10"/>
        <v>753.1599999999999</v>
      </c>
      <c r="J62" s="1"/>
      <c r="K62" s="1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2:254" s="58" customFormat="1" ht="12.75">
      <c r="B63" s="282" t="s">
        <v>7</v>
      </c>
      <c r="C63" s="287">
        <v>916</v>
      </c>
      <c r="D63" s="88">
        <v>9937.243</v>
      </c>
      <c r="E63" s="96">
        <v>9075.815</v>
      </c>
      <c r="F63" s="55">
        <v>7260.966</v>
      </c>
      <c r="G63" s="55">
        <v>5703.788</v>
      </c>
      <c r="H63" s="55">
        <f t="shared" si="9"/>
        <v>10632.993000000002</v>
      </c>
      <c r="I63" s="89">
        <f t="shared" si="10"/>
        <v>1557.1780000000017</v>
      </c>
      <c r="J63" s="1"/>
      <c r="K63" s="1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2:254" s="58" customFormat="1" ht="12.75">
      <c r="B64" s="282" t="s">
        <v>8</v>
      </c>
      <c r="C64" s="287">
        <v>916</v>
      </c>
      <c r="D64" s="88">
        <v>996.474</v>
      </c>
      <c r="E64" s="55">
        <v>145.7</v>
      </c>
      <c r="F64" s="55">
        <v>1666.445</v>
      </c>
      <c r="G64" s="55">
        <v>733.283</v>
      </c>
      <c r="H64" s="55">
        <f t="shared" si="9"/>
        <v>1078.862</v>
      </c>
      <c r="I64" s="89">
        <f t="shared" si="10"/>
        <v>933.162</v>
      </c>
      <c r="J64" s="1"/>
      <c r="K64" s="1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2:254" s="58" customFormat="1" ht="12.75">
      <c r="B65" s="282" t="s">
        <v>9</v>
      </c>
      <c r="C65" s="287">
        <v>916</v>
      </c>
      <c r="D65" s="88">
        <v>4823.835</v>
      </c>
      <c r="E65" s="55">
        <v>4893.506</v>
      </c>
      <c r="F65" s="55">
        <v>426.636</v>
      </c>
      <c r="G65" s="55">
        <v>619.699</v>
      </c>
      <c r="H65" s="55">
        <f t="shared" si="9"/>
        <v>4700.443000000001</v>
      </c>
      <c r="I65" s="89">
        <f t="shared" si="10"/>
        <v>-193.0629999999992</v>
      </c>
      <c r="J65" s="1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2:254" s="58" customFormat="1" ht="12.75">
      <c r="B66" s="282" t="s">
        <v>10</v>
      </c>
      <c r="C66" s="287">
        <v>916</v>
      </c>
      <c r="D66" s="88">
        <v>226.115</v>
      </c>
      <c r="E66" s="96">
        <v>286.772</v>
      </c>
      <c r="F66" s="55">
        <v>468.166</v>
      </c>
      <c r="G66" s="96">
        <v>541.505</v>
      </c>
      <c r="H66" s="55">
        <f t="shared" si="9"/>
        <v>213.433</v>
      </c>
      <c r="I66" s="89">
        <f t="shared" si="10"/>
        <v>-73.339</v>
      </c>
      <c r="J66" s="1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2:254" s="58" customFormat="1" ht="12.75">
      <c r="B67" s="282" t="s">
        <v>11</v>
      </c>
      <c r="C67" s="287">
        <v>916</v>
      </c>
      <c r="D67" s="88">
        <v>2368.813</v>
      </c>
      <c r="E67" s="55">
        <v>2231.364</v>
      </c>
      <c r="F67" s="55">
        <v>1924.639</v>
      </c>
      <c r="G67" s="55">
        <v>1300.366</v>
      </c>
      <c r="H67" s="55">
        <f t="shared" si="9"/>
        <v>2855.6369999999997</v>
      </c>
      <c r="I67" s="89">
        <f t="shared" si="10"/>
        <v>624.2729999999997</v>
      </c>
      <c r="J67" s="1"/>
      <c r="K67" s="1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2:254" s="58" customFormat="1" ht="12.75">
      <c r="B68" s="282" t="s">
        <v>12</v>
      </c>
      <c r="C68" s="287">
        <v>916</v>
      </c>
      <c r="D68" s="88">
        <v>6898.918</v>
      </c>
      <c r="E68" s="55">
        <v>6787.125</v>
      </c>
      <c r="F68" s="55">
        <v>4432.417</v>
      </c>
      <c r="G68" s="55">
        <v>4981.824</v>
      </c>
      <c r="H68" s="55">
        <f t="shared" si="9"/>
        <v>6237.718000000002</v>
      </c>
      <c r="I68" s="89">
        <f t="shared" si="10"/>
        <v>-549.4069999999983</v>
      </c>
      <c r="J68" s="1"/>
      <c r="K68" s="1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2:254" s="58" customFormat="1" ht="12.75">
      <c r="B69" s="283" t="s">
        <v>13</v>
      </c>
      <c r="C69" s="287">
        <v>916</v>
      </c>
      <c r="D69" s="88">
        <v>421.9</v>
      </c>
      <c r="E69" s="55">
        <v>454.604</v>
      </c>
      <c r="F69" s="55"/>
      <c r="G69" s="55"/>
      <c r="H69" s="55">
        <f t="shared" si="9"/>
        <v>454.604</v>
      </c>
      <c r="I69" s="89">
        <f t="shared" si="10"/>
        <v>0</v>
      </c>
      <c r="J69" s="1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2:254" s="58" customFormat="1" ht="12.75">
      <c r="B70" s="283" t="s">
        <v>14</v>
      </c>
      <c r="C70" s="287">
        <v>916</v>
      </c>
      <c r="D70" s="88">
        <v>19208.519</v>
      </c>
      <c r="E70" s="55">
        <v>21776</v>
      </c>
      <c r="F70" s="55">
        <v>6992.198</v>
      </c>
      <c r="G70" s="55">
        <v>6094.348</v>
      </c>
      <c r="H70" s="55">
        <f t="shared" si="9"/>
        <v>22673.85</v>
      </c>
      <c r="I70" s="89">
        <f t="shared" si="10"/>
        <v>897.8499999999985</v>
      </c>
      <c r="J70" s="1"/>
      <c r="K70" s="1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2:254" s="58" customFormat="1" ht="12.75">
      <c r="B71" s="282" t="s">
        <v>15</v>
      </c>
      <c r="C71" s="287">
        <v>916</v>
      </c>
      <c r="D71" s="88">
        <v>488.518</v>
      </c>
      <c r="E71" s="55">
        <v>667.804</v>
      </c>
      <c r="F71" s="55">
        <v>472.275</v>
      </c>
      <c r="G71" s="55"/>
      <c r="H71" s="55">
        <f t="shared" si="9"/>
        <v>1140.079</v>
      </c>
      <c r="I71" s="89">
        <f t="shared" si="10"/>
        <v>472.275</v>
      </c>
      <c r="J71" s="1"/>
      <c r="K71" s="1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2:254" s="58" customFormat="1" ht="12.75">
      <c r="B72" s="283" t="s">
        <v>16</v>
      </c>
      <c r="C72" s="287">
        <v>916</v>
      </c>
      <c r="D72" s="88">
        <v>2086.765</v>
      </c>
      <c r="E72" s="55">
        <v>1844.246</v>
      </c>
      <c r="F72" s="55"/>
      <c r="G72" s="55">
        <v>361.345</v>
      </c>
      <c r="H72" s="56">
        <f t="shared" si="9"/>
        <v>1482.901</v>
      </c>
      <c r="I72" s="89">
        <f t="shared" si="10"/>
        <v>-361.345</v>
      </c>
      <c r="J72" s="1"/>
      <c r="K72" s="1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2:254" s="58" customFormat="1" ht="13.5" thickBot="1">
      <c r="B73" s="282" t="s">
        <v>17</v>
      </c>
      <c r="C73" s="287">
        <v>916</v>
      </c>
      <c r="D73" s="88">
        <v>65.32</v>
      </c>
      <c r="E73" s="55">
        <v>65.32</v>
      </c>
      <c r="F73" s="55">
        <v>1148.06</v>
      </c>
      <c r="G73" s="276">
        <v>1148.06</v>
      </c>
      <c r="H73" s="433">
        <f t="shared" si="9"/>
        <v>65.31999999999994</v>
      </c>
      <c r="I73" s="89">
        <f t="shared" si="10"/>
        <v>0</v>
      </c>
      <c r="J73" s="1"/>
      <c r="K73" s="1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2:254" s="58" customFormat="1" ht="13.5" thickBot="1">
      <c r="B74" s="284" t="s">
        <v>24</v>
      </c>
      <c r="C74" s="93">
        <v>916</v>
      </c>
      <c r="D74" s="94">
        <f aca="true" t="shared" si="11" ref="D74:I74">SUM(D60:D73)</f>
        <v>72824.095</v>
      </c>
      <c r="E74" s="95">
        <f t="shared" si="11"/>
        <v>76743.613</v>
      </c>
      <c r="F74" s="95">
        <f t="shared" si="11"/>
        <v>30166.829000000005</v>
      </c>
      <c r="G74" s="95">
        <f t="shared" si="11"/>
        <v>37162.186</v>
      </c>
      <c r="H74" s="95">
        <f t="shared" si="11"/>
        <v>69748.25600000001</v>
      </c>
      <c r="I74" s="95">
        <f t="shared" si="11"/>
        <v>-6995.356999999998</v>
      </c>
      <c r="J74" s="1"/>
      <c r="K74" s="1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3:11" ht="13.5" thickBot="1">
      <c r="C75" s="81"/>
      <c r="K75" s="15"/>
    </row>
    <row r="76" spans="2:11" ht="43.5" customHeight="1" thickBot="1">
      <c r="B76" s="5" t="s">
        <v>23</v>
      </c>
      <c r="C76" s="426" t="s">
        <v>26</v>
      </c>
      <c r="D76" s="427" t="s">
        <v>323</v>
      </c>
      <c r="E76" s="6" t="s">
        <v>324</v>
      </c>
      <c r="F76" s="82" t="s">
        <v>489</v>
      </c>
      <c r="G76" s="5" t="s">
        <v>35</v>
      </c>
      <c r="H76" s="5" t="s">
        <v>325</v>
      </c>
      <c r="I76" s="426" t="s">
        <v>495</v>
      </c>
      <c r="K76" s="15"/>
    </row>
    <row r="77" spans="2:9" ht="13.5" thickBot="1">
      <c r="B77" s="47"/>
      <c r="C77" s="44"/>
      <c r="D77" s="84"/>
      <c r="E77" s="11">
        <v>1</v>
      </c>
      <c r="F77" s="85">
        <v>2</v>
      </c>
      <c r="G77" s="10">
        <v>3</v>
      </c>
      <c r="H77" s="85">
        <v>4</v>
      </c>
      <c r="I77" s="10">
        <v>5</v>
      </c>
    </row>
    <row r="78" spans="2:11" ht="12.75">
      <c r="B78" s="12" t="s">
        <v>4</v>
      </c>
      <c r="C78" s="291"/>
      <c r="D78" s="288">
        <f aca="true" t="shared" si="12" ref="D78:I91">D6+D24+D42+D60</f>
        <v>4069.924</v>
      </c>
      <c r="E78" s="34">
        <f t="shared" si="12"/>
        <v>5074.347</v>
      </c>
      <c r="F78" s="34">
        <f t="shared" si="12"/>
        <v>950.2700000000001</v>
      </c>
      <c r="G78" s="34">
        <f t="shared" si="12"/>
        <v>130.704</v>
      </c>
      <c r="H78" s="34">
        <f t="shared" si="12"/>
        <v>5893.9130000000005</v>
      </c>
      <c r="I78" s="34">
        <f t="shared" si="12"/>
        <v>819.5660000000001</v>
      </c>
      <c r="K78" s="15"/>
    </row>
    <row r="79" spans="2:11" ht="12.75">
      <c r="B79" s="16" t="s">
        <v>5</v>
      </c>
      <c r="C79" s="292"/>
      <c r="D79" s="289">
        <f t="shared" si="12"/>
        <v>16797.657</v>
      </c>
      <c r="E79" s="37">
        <f t="shared" si="12"/>
        <v>20167.469999999998</v>
      </c>
      <c r="F79" s="37">
        <f t="shared" si="12"/>
        <v>11130.247</v>
      </c>
      <c r="G79" s="37">
        <f t="shared" si="12"/>
        <v>21571.863</v>
      </c>
      <c r="H79" s="37">
        <f t="shared" si="12"/>
        <v>9725.853999999998</v>
      </c>
      <c r="I79" s="37">
        <f t="shared" si="12"/>
        <v>-10441.616</v>
      </c>
      <c r="K79" s="15"/>
    </row>
    <row r="80" spans="2:11" ht="12.75">
      <c r="B80" s="16" t="s">
        <v>6</v>
      </c>
      <c r="C80" s="292"/>
      <c r="D80" s="289">
        <f t="shared" si="12"/>
        <v>6791.8099999999995</v>
      </c>
      <c r="E80" s="37">
        <f t="shared" si="12"/>
        <v>6791.882</v>
      </c>
      <c r="F80" s="37">
        <f t="shared" si="12"/>
        <v>1627.999</v>
      </c>
      <c r="G80" s="37">
        <f t="shared" si="12"/>
        <v>844</v>
      </c>
      <c r="H80" s="37">
        <f t="shared" si="12"/>
        <v>7575.880999999999</v>
      </c>
      <c r="I80" s="37">
        <f t="shared" si="12"/>
        <v>783.9989999999998</v>
      </c>
      <c r="K80" s="15"/>
    </row>
    <row r="81" spans="2:11" ht="12.75">
      <c r="B81" s="16" t="s">
        <v>7</v>
      </c>
      <c r="C81" s="292"/>
      <c r="D81" s="289">
        <f t="shared" si="12"/>
        <v>19338.947</v>
      </c>
      <c r="E81" s="37">
        <f t="shared" si="12"/>
        <v>20186.896</v>
      </c>
      <c r="F81" s="37">
        <f t="shared" si="12"/>
        <v>10137.35</v>
      </c>
      <c r="G81" s="37">
        <f t="shared" si="12"/>
        <v>10217.967</v>
      </c>
      <c r="H81" s="37">
        <f t="shared" si="12"/>
        <v>20106.279000000002</v>
      </c>
      <c r="I81" s="37">
        <f t="shared" si="12"/>
        <v>-80.61699999999792</v>
      </c>
      <c r="K81" s="15"/>
    </row>
    <row r="82" spans="2:11" ht="12.75">
      <c r="B82" s="16" t="s">
        <v>8</v>
      </c>
      <c r="C82" s="292"/>
      <c r="D82" s="289">
        <f t="shared" si="12"/>
        <v>4321.951</v>
      </c>
      <c r="E82" s="37">
        <f t="shared" si="12"/>
        <v>2144.313</v>
      </c>
      <c r="F82" s="37">
        <f t="shared" si="12"/>
        <v>27086.114</v>
      </c>
      <c r="G82" s="37">
        <f t="shared" si="12"/>
        <v>23646.703999999998</v>
      </c>
      <c r="H82" s="37">
        <f t="shared" si="12"/>
        <v>5583.723000000003</v>
      </c>
      <c r="I82" s="37">
        <f t="shared" si="12"/>
        <v>3439.4100000000026</v>
      </c>
      <c r="K82" s="15"/>
    </row>
    <row r="83" spans="2:11" ht="12.75">
      <c r="B83" s="16" t="s">
        <v>9</v>
      </c>
      <c r="C83" s="292"/>
      <c r="D83" s="289">
        <f t="shared" si="12"/>
        <v>10401.613000000001</v>
      </c>
      <c r="E83" s="272">
        <f t="shared" si="12"/>
        <v>10513.523000000001</v>
      </c>
      <c r="F83" s="37">
        <f t="shared" si="12"/>
        <v>3539.251</v>
      </c>
      <c r="G83" s="272">
        <f t="shared" si="12"/>
        <v>5256.624</v>
      </c>
      <c r="H83" s="37">
        <f t="shared" si="12"/>
        <v>8796.150000000001</v>
      </c>
      <c r="I83" s="37">
        <f t="shared" si="12"/>
        <v>-1717.3729999999994</v>
      </c>
      <c r="K83" s="15"/>
    </row>
    <row r="84" spans="2:11" ht="12.75">
      <c r="B84" s="16" t="s">
        <v>10</v>
      </c>
      <c r="C84" s="292"/>
      <c r="D84" s="289">
        <f t="shared" si="12"/>
        <v>355.267</v>
      </c>
      <c r="E84" s="37">
        <f t="shared" si="12"/>
        <v>420.937</v>
      </c>
      <c r="F84" s="37">
        <f t="shared" si="12"/>
        <v>583.712</v>
      </c>
      <c r="G84" s="37">
        <f t="shared" si="12"/>
        <v>598.904</v>
      </c>
      <c r="H84" s="37">
        <f t="shared" si="12"/>
        <v>405.745</v>
      </c>
      <c r="I84" s="37">
        <f t="shared" si="12"/>
        <v>-15.191999999999993</v>
      </c>
      <c r="K84" s="15"/>
    </row>
    <row r="85" spans="2:11" ht="12.75">
      <c r="B85" s="16" t="s">
        <v>11</v>
      </c>
      <c r="C85" s="292"/>
      <c r="D85" s="289">
        <f t="shared" si="12"/>
        <v>133981.23599999998</v>
      </c>
      <c r="E85" s="37">
        <f t="shared" si="12"/>
        <v>136977.30299999999</v>
      </c>
      <c r="F85" s="37">
        <f t="shared" si="12"/>
        <v>23001.979999999996</v>
      </c>
      <c r="G85" s="37">
        <f t="shared" si="12"/>
        <v>62003.55300000001</v>
      </c>
      <c r="H85" s="37">
        <f t="shared" si="12"/>
        <v>97975.73</v>
      </c>
      <c r="I85" s="37">
        <f t="shared" si="12"/>
        <v>-39001.57300000001</v>
      </c>
      <c r="K85" s="15"/>
    </row>
    <row r="86" spans="2:11" ht="12.75">
      <c r="B86" s="16" t="s">
        <v>12</v>
      </c>
      <c r="C86" s="292"/>
      <c r="D86" s="289">
        <f t="shared" si="12"/>
        <v>8350.128</v>
      </c>
      <c r="E86" s="37">
        <f t="shared" si="12"/>
        <v>11448.571</v>
      </c>
      <c r="F86" s="37">
        <f t="shared" si="12"/>
        <v>5171.103</v>
      </c>
      <c r="G86" s="37">
        <f t="shared" si="12"/>
        <v>5908.11</v>
      </c>
      <c r="H86" s="37">
        <f t="shared" si="12"/>
        <v>10711.564000000002</v>
      </c>
      <c r="I86" s="37">
        <f t="shared" si="12"/>
        <v>-737.0069999999982</v>
      </c>
      <c r="K86" s="15"/>
    </row>
    <row r="87" spans="2:11" ht="12.75">
      <c r="B87" s="20" t="s">
        <v>13</v>
      </c>
      <c r="C87" s="292"/>
      <c r="D87" s="289">
        <f t="shared" si="12"/>
        <v>633.694</v>
      </c>
      <c r="E87" s="37">
        <f t="shared" si="12"/>
        <v>656.691</v>
      </c>
      <c r="F87" s="37">
        <f t="shared" si="12"/>
        <v>140.154</v>
      </c>
      <c r="G87" s="97">
        <f t="shared" si="12"/>
        <v>8.777</v>
      </c>
      <c r="H87" s="37">
        <f t="shared" si="12"/>
        <v>788.068</v>
      </c>
      <c r="I87" s="37">
        <f t="shared" si="12"/>
        <v>131.377</v>
      </c>
      <c r="K87" s="15"/>
    </row>
    <row r="88" spans="2:11" ht="12.75">
      <c r="B88" s="20" t="s">
        <v>14</v>
      </c>
      <c r="C88" s="292"/>
      <c r="D88" s="289">
        <f t="shared" si="12"/>
        <v>26270.45</v>
      </c>
      <c r="E88" s="37">
        <f t="shared" si="12"/>
        <v>35056.895000000004</v>
      </c>
      <c r="F88" s="37">
        <f t="shared" si="12"/>
        <v>26546.196</v>
      </c>
      <c r="G88" s="37">
        <f t="shared" si="12"/>
        <v>19798.869</v>
      </c>
      <c r="H88" s="37">
        <f t="shared" si="12"/>
        <v>41804.221999999994</v>
      </c>
      <c r="I88" s="37">
        <f t="shared" si="12"/>
        <v>6747.326999999996</v>
      </c>
      <c r="K88" s="15"/>
    </row>
    <row r="89" spans="2:11" ht="12.75">
      <c r="B89" s="16" t="s">
        <v>15</v>
      </c>
      <c r="C89" s="292"/>
      <c r="D89" s="289">
        <f t="shared" si="12"/>
        <v>1566.336</v>
      </c>
      <c r="E89" s="37">
        <f t="shared" si="12"/>
        <v>1776.069</v>
      </c>
      <c r="F89" s="37">
        <f t="shared" si="12"/>
        <v>615.564</v>
      </c>
      <c r="G89" s="37">
        <f t="shared" si="12"/>
        <v>124.757</v>
      </c>
      <c r="H89" s="37">
        <f t="shared" si="12"/>
        <v>2266.876</v>
      </c>
      <c r="I89" s="37">
        <f t="shared" si="12"/>
        <v>490.80699999999996</v>
      </c>
      <c r="K89" s="15"/>
    </row>
    <row r="90" spans="2:11" ht="12.75">
      <c r="B90" s="20" t="s">
        <v>16</v>
      </c>
      <c r="C90" s="292"/>
      <c r="D90" s="289">
        <f t="shared" si="12"/>
        <v>2292.8199999999997</v>
      </c>
      <c r="E90" s="37">
        <f t="shared" si="12"/>
        <v>1873.644</v>
      </c>
      <c r="F90" s="37">
        <f t="shared" si="12"/>
        <v>132.229</v>
      </c>
      <c r="G90" s="37">
        <f t="shared" si="12"/>
        <v>500.29</v>
      </c>
      <c r="H90" s="37">
        <f t="shared" si="12"/>
        <v>1505.583</v>
      </c>
      <c r="I90" s="37">
        <f t="shared" si="12"/>
        <v>-368.06100000000004</v>
      </c>
      <c r="K90" s="15"/>
    </row>
    <row r="91" spans="2:11" ht="13.5" thickBot="1">
      <c r="B91" s="16" t="s">
        <v>17</v>
      </c>
      <c r="C91" s="292"/>
      <c r="D91" s="289">
        <f t="shared" si="12"/>
        <v>249.76</v>
      </c>
      <c r="E91" s="37">
        <f t="shared" si="12"/>
        <v>246.70600000000002</v>
      </c>
      <c r="F91" s="37">
        <f t="shared" si="12"/>
        <v>1195.744</v>
      </c>
      <c r="G91" s="37">
        <f t="shared" si="12"/>
        <v>1197.327</v>
      </c>
      <c r="H91" s="37">
        <f t="shared" si="12"/>
        <v>245.12299999999993</v>
      </c>
      <c r="I91" s="37">
        <f t="shared" si="12"/>
        <v>-1.5830000000000126</v>
      </c>
      <c r="K91" s="15"/>
    </row>
    <row r="92" spans="2:11" ht="13.5" thickBot="1">
      <c r="B92" s="23" t="s">
        <v>24</v>
      </c>
      <c r="C92" s="44"/>
      <c r="D92" s="290">
        <f>SUM(D78:D91)</f>
        <v>235421.593</v>
      </c>
      <c r="E92" s="25">
        <f>SUM(E78:E91)</f>
        <v>253335.24699999997</v>
      </c>
      <c r="F92" s="25">
        <f>SUM(F78:F91)</f>
        <v>111857.913</v>
      </c>
      <c r="G92" s="25">
        <f>SUM(G78:G91)</f>
        <v>151808.44900000002</v>
      </c>
      <c r="H92" s="25">
        <f>SUM(H78:H91)</f>
        <v>213384.711</v>
      </c>
      <c r="I92" s="25">
        <f>SUM(I78:I91)+0.01</f>
        <v>-39950.526000000005</v>
      </c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spans="8:11" ht="12.75">
      <c r="H97" s="15"/>
      <c r="K97" s="15"/>
    </row>
    <row r="98" ht="12.75">
      <c r="K98" s="15"/>
    </row>
    <row r="99" spans="8:11" ht="12.75">
      <c r="H99" s="15"/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ht="12.75">
      <c r="K232" s="15"/>
    </row>
    <row r="233" ht="12.75">
      <c r="K233" s="15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  <row r="247" ht="12.75">
      <c r="K247" s="15"/>
    </row>
    <row r="248" ht="12.75">
      <c r="K248" s="15"/>
    </row>
    <row r="249" ht="12.75">
      <c r="K249" s="15"/>
    </row>
    <row r="250" ht="12.75">
      <c r="K250" s="15"/>
    </row>
    <row r="251" ht="12.75">
      <c r="K251" s="15"/>
    </row>
    <row r="252" ht="12.75">
      <c r="K252" s="15"/>
    </row>
    <row r="253" ht="12.75">
      <c r="K253" s="15"/>
    </row>
    <row r="254" ht="12.75">
      <c r="K254" s="15"/>
    </row>
  </sheetData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avratova</cp:lastModifiedBy>
  <cp:lastPrinted>2009-06-11T07:18:23Z</cp:lastPrinted>
  <dcterms:created xsi:type="dcterms:W3CDTF">2008-02-28T11:41:56Z</dcterms:created>
  <dcterms:modified xsi:type="dcterms:W3CDTF">2009-06-17T13:35:56Z</dcterms:modified>
  <cp:category/>
  <cp:version/>
  <cp:contentType/>
  <cp:contentStatus/>
</cp:coreProperties>
</file>