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UR10" sheetId="1" r:id="rId1"/>
    <sheet name="List2" sheetId="2" r:id="rId2"/>
    <sheet name="ESF" sheetId="3" r:id="rId3"/>
    <sheet name="RN-Sk" sheetId="4" r:id="rId4"/>
    <sheet name="ONIV" sheetId="5" r:id="rId5"/>
    <sheet name="vynosy" sheetId="6" r:id="rId6"/>
    <sheet name="HVcelkem" sheetId="7" r:id="rId7"/>
    <sheet name="HV-HC orig" sheetId="8" r:id="rId8"/>
    <sheet name="HV-JC orig" sheetId="9" r:id="rId9"/>
    <sheet name="penFondy" sheetId="10" r:id="rId10"/>
    <sheet name="krytíPF" sheetId="11" r:id="rId11"/>
    <sheet name="F10 po prid" sheetId="12" r:id="rId12"/>
  </sheets>
  <definedNames>
    <definedName name="_xlnm.Print_Titles" localSheetId="11">'F10 po prid'!$1:$4</definedName>
  </definedNames>
  <calcPr fullCalcOnLoad="1"/>
</workbook>
</file>

<file path=xl/comments1.xml><?xml version="1.0" encoding="utf-8"?>
<comments xmlns="http://schemas.openxmlformats.org/spreadsheetml/2006/main">
  <authors>
    <author>avratova</author>
  </authors>
  <commentList>
    <comment ref="H5" authorId="0">
      <text>
        <r>
          <rPr>
            <b/>
            <sz val="8"/>
            <rFont val="Tahoma"/>
            <family val="0"/>
          </rPr>
          <t>avratova: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prostředky neuvolněny</t>
        </r>
      </text>
    </comment>
  </commentList>
</comments>
</file>

<file path=xl/sharedStrings.xml><?xml version="1.0" encoding="utf-8"?>
<sst xmlns="http://schemas.openxmlformats.org/spreadsheetml/2006/main" count="1267" uniqueCount="498">
  <si>
    <t>(bez FKSP - neprovádí se příděl z HV)</t>
  </si>
  <si>
    <t>v tis. Kč</t>
  </si>
  <si>
    <t>Návrh přídělu ze zlepš. HV</t>
  </si>
  <si>
    <t>Fond odměn</t>
  </si>
  <si>
    <t>DZS Praha</t>
  </si>
  <si>
    <t>ÚIV Praha</t>
  </si>
  <si>
    <t>PMJAK Praha</t>
  </si>
  <si>
    <t>NIDM Praha</t>
  </si>
  <si>
    <t>KJWF Praha</t>
  </si>
  <si>
    <t>PC Č.Těšín</t>
  </si>
  <si>
    <t>ADV Praha</t>
  </si>
  <si>
    <t xml:space="preserve">FO CELKEM </t>
  </si>
  <si>
    <t>Fond rezervní</t>
  </si>
  <si>
    <t xml:space="preserve">RF CELKEM </t>
  </si>
  <si>
    <t>FRM</t>
  </si>
  <si>
    <t>FRM CELKEM</t>
  </si>
  <si>
    <t xml:space="preserve">CELKEM </t>
  </si>
  <si>
    <t>CELKEM OPŘO</t>
  </si>
  <si>
    <t xml:space="preserve">Krytí peněžních fondů OPŘO </t>
  </si>
  <si>
    <t>Číslo účtu</t>
  </si>
  <si>
    <t>Běžný účet</t>
  </si>
  <si>
    <t>Ostatní běžné účty</t>
  </si>
  <si>
    <t>PC Č. Těšín</t>
  </si>
  <si>
    <t>FKSP</t>
  </si>
  <si>
    <t>FRIM</t>
  </si>
  <si>
    <t>Peněžní fondy za OPŘO celkem</t>
  </si>
  <si>
    <t>Peněžní fondy OPŘO - tvorba a čerpání</t>
  </si>
  <si>
    <t>Čerpání</t>
  </si>
  <si>
    <t>v  tis. Kč</t>
  </si>
  <si>
    <t>Účet</t>
  </si>
  <si>
    <t>DZS</t>
  </si>
  <si>
    <t>NIDM</t>
  </si>
  <si>
    <t>501</t>
  </si>
  <si>
    <t>Spotřeba materiálu</t>
  </si>
  <si>
    <t>502</t>
  </si>
  <si>
    <t>Spotřeba energie</t>
  </si>
  <si>
    <t>503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</si>
  <si>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</si>
  <si>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</si>
  <si>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</si>
  <si>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</si>
  <si>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</si>
  <si>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</si>
  <si>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</si>
  <si>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</si>
  <si>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</si>
  <si>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</si>
  <si>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</si>
  <si>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</si>
  <si>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</si>
  <si>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</si>
  <si>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</si>
  <si>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527</t>
  </si>
  <si>
    <t>Zákonné sociální náklady</t>
  </si>
  <si>
    <t>528</t>
  </si>
  <si>
    <t>531</t>
  </si>
  <si>
    <t>Daň silniční</t>
  </si>
  <si>
    <t>532</t>
  </si>
  <si>
    <t>Daň z nemovitostí</t>
  </si>
  <si>
    <t>538</t>
  </si>
  <si>
    <t>541</t>
  </si>
  <si>
    <t>Smluvní pokuty a úroky z prodlení</t>
  </si>
  <si>
    <t>542</t>
  </si>
  <si>
    <t>543</t>
  </si>
  <si>
    <t>544</t>
  </si>
  <si>
    <t>Úroky</t>
  </si>
  <si>
    <t>Kurzové ztráty</t>
  </si>
  <si>
    <t>Dary</t>
  </si>
  <si>
    <t>548</t>
  </si>
  <si>
    <t>Manka a škody</t>
  </si>
  <si>
    <t>549</t>
  </si>
  <si>
    <t>551</t>
  </si>
  <si>
    <t>552</t>
  </si>
  <si>
    <t>553</t>
  </si>
  <si>
    <t>554</t>
  </si>
  <si>
    <t>Prodaný materiál</t>
  </si>
  <si>
    <t>556</t>
  </si>
  <si>
    <t>601</t>
  </si>
  <si>
    <t>602</t>
  </si>
  <si>
    <t>604</t>
  </si>
  <si>
    <t>611</t>
  </si>
  <si>
    <t>612</t>
  </si>
  <si>
    <t>613</t>
  </si>
  <si>
    <t>614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</si>
  <si>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</si>
  <si>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</si>
  <si>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</si>
  <si>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</si>
  <si>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</si>
  <si>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</si>
  <si>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</si>
  <si>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>Aktivace dlouhodobého hmotného majetku</t>
  </si>
  <si>
    <t>641</t>
  </si>
  <si>
    <t>642</t>
  </si>
  <si>
    <t>643</t>
  </si>
  <si>
    <t>644</t>
  </si>
  <si>
    <t>645</t>
  </si>
  <si>
    <t>Kurzové zisky</t>
  </si>
  <si>
    <t>649</t>
  </si>
  <si>
    <t>591</t>
  </si>
  <si>
    <t>Daň z příjmů</t>
  </si>
  <si>
    <t>595</t>
  </si>
  <si>
    <t>Dodatečné odvody daně z příjmů</t>
  </si>
  <si>
    <t>PMJAK</t>
  </si>
  <si>
    <t>KJWF</t>
  </si>
  <si>
    <t>ADV</t>
  </si>
  <si>
    <t>Celkem</t>
  </si>
  <si>
    <t>OPŘO</t>
  </si>
  <si>
    <t>HV hlavní činnosti</t>
  </si>
  <si>
    <t>HV jiné činnosti</t>
  </si>
  <si>
    <t>HV celkem</t>
  </si>
  <si>
    <t>HV celkem bez daně</t>
  </si>
  <si>
    <t>z toho daň</t>
  </si>
  <si>
    <t>HV</t>
  </si>
  <si>
    <t>Celkem OPŘO</t>
  </si>
  <si>
    <t>Tabulka č. 10</t>
  </si>
  <si>
    <t>celkem</t>
  </si>
  <si>
    <t>rozpočet</t>
  </si>
  <si>
    <t>skutečnost</t>
  </si>
  <si>
    <t>Tabulka č. 9</t>
  </si>
  <si>
    <t>Rozpočet zákonných odvodů</t>
  </si>
  <si>
    <t xml:space="preserve">Skutečnost </t>
  </si>
  <si>
    <t>Procento</t>
  </si>
  <si>
    <t>Rozpočet FKSP</t>
  </si>
  <si>
    <t>Rozpočet OBV</t>
  </si>
  <si>
    <t>Rozpočet ONIV celkem</t>
  </si>
  <si>
    <t>sl. 1</t>
  </si>
  <si>
    <t>sl. 2</t>
  </si>
  <si>
    <t>sl. 3</t>
  </si>
  <si>
    <t>sl.4</t>
  </si>
  <si>
    <t>CELKEM OPŘO - PO</t>
  </si>
  <si>
    <t>Tabulka č. 3</t>
  </si>
  <si>
    <t>Rozpočet nákladů celkem</t>
  </si>
  <si>
    <t>Skutečnost (V + N)</t>
  </si>
  <si>
    <t>Tabulka č. 2</t>
  </si>
  <si>
    <t xml:space="preserve">PLATY </t>
  </si>
  <si>
    <t xml:space="preserve">OON </t>
  </si>
  <si>
    <t>MP celkem</t>
  </si>
  <si>
    <t>POJ.</t>
  </si>
  <si>
    <t xml:space="preserve">FKSP </t>
  </si>
  <si>
    <t>OBV provoz</t>
  </si>
  <si>
    <t>OBV celkem</t>
  </si>
  <si>
    <t>ONIV celkem</t>
  </si>
  <si>
    <t>NIV příspěvek PO</t>
  </si>
  <si>
    <t>Výnosy</t>
  </si>
  <si>
    <t>CELKEM VÝDAJE</t>
  </si>
  <si>
    <t>Počet zam.</t>
  </si>
  <si>
    <t>Paragraf</t>
  </si>
  <si>
    <t>Popis</t>
  </si>
  <si>
    <t>DZS CELKEM</t>
  </si>
  <si>
    <t>3299 - 41</t>
  </si>
  <si>
    <t>ÚIV-KMENOVÁ ČINNOST</t>
  </si>
  <si>
    <t>3299 - 42</t>
  </si>
  <si>
    <t>ÚIV-PROJEKTY</t>
  </si>
  <si>
    <t>3299 - AB</t>
  </si>
  <si>
    <t>ÚIV CELKEM</t>
  </si>
  <si>
    <t>3315 - 01</t>
  </si>
  <si>
    <t>MJAK-KMENOVÁ ČINNOST</t>
  </si>
  <si>
    <t>3315 - 05</t>
  </si>
  <si>
    <t>MJAK CELKEM</t>
  </si>
  <si>
    <t>3421 - 11</t>
  </si>
  <si>
    <t>NIDM-KMENOVÁ ČINNOST</t>
  </si>
  <si>
    <t>3421 - 12</t>
  </si>
  <si>
    <t>NIDM-NA MLÁDEŽ</t>
  </si>
  <si>
    <t>3421 - 17</t>
  </si>
  <si>
    <t>NIDM-OST.MIMO PROJ A KMEN. ČIN.</t>
  </si>
  <si>
    <t>NIDM CELKEM</t>
  </si>
  <si>
    <t>3314 - 01</t>
  </si>
  <si>
    <t>3314 - 03</t>
  </si>
  <si>
    <t>3314 - 07</t>
  </si>
  <si>
    <t>3299 - 53</t>
  </si>
  <si>
    <t>KJWF-KMENOVÁ ČINNOST</t>
  </si>
  <si>
    <t>KJWFCELKEM</t>
  </si>
  <si>
    <t>3299 - 62</t>
  </si>
  <si>
    <t>PC TĚŠÍN-KMENOVÁ ČINNOST</t>
  </si>
  <si>
    <t>PC ČT CELKEM</t>
  </si>
  <si>
    <t>3411 - 01</t>
  </si>
  <si>
    <t>ADV CELKEM</t>
  </si>
  <si>
    <t>CELKEM</t>
  </si>
  <si>
    <t>UIV</t>
  </si>
  <si>
    <t>3809 - 36</t>
  </si>
  <si>
    <t>3315 - 03</t>
  </si>
  <si>
    <t>MJAK - projekty</t>
  </si>
  <si>
    <t>NIDM -soutěže</t>
  </si>
  <si>
    <t>OBV ISPROFIN</t>
  </si>
  <si>
    <t>Tabulka č. 7</t>
  </si>
  <si>
    <t>Tabulka č. 8</t>
  </si>
  <si>
    <t>3299 - 14</t>
  </si>
  <si>
    <t>DZS 2007-13 programy EHP Norsko z rozp. EHP</t>
  </si>
  <si>
    <t>3299 - 13</t>
  </si>
  <si>
    <t>DZS 2007-13 programy EHP Norsko ze SR</t>
  </si>
  <si>
    <t>3299 - 46</t>
  </si>
  <si>
    <t>DZS OST.MEZ.KONF.A SEMINÁŘE</t>
  </si>
  <si>
    <t>3299 - 32</t>
  </si>
  <si>
    <t>DZS-KMENOVÁ ČINNOST</t>
  </si>
  <si>
    <t>3299 - 34</t>
  </si>
  <si>
    <t>DZS-PROJEKTY</t>
  </si>
  <si>
    <t>3299 - 36</t>
  </si>
  <si>
    <t>DZS-OST.MIMO  PROJEKTY A KMEN. ČINNOST</t>
  </si>
  <si>
    <t>DZS - NAEP</t>
  </si>
  <si>
    <t>DZS - ostatní - Evropské školy</t>
  </si>
  <si>
    <t>3299 - CW</t>
  </si>
  <si>
    <t>ÚIV - projekty OECD</t>
  </si>
  <si>
    <t>3421 - 07</t>
  </si>
  <si>
    <t>3809 - 55</t>
  </si>
  <si>
    <t>ESF a TP CELKEM ÚIV</t>
  </si>
  <si>
    <t>ESF a TP CELKEM NIDM</t>
  </si>
  <si>
    <t>Tabulka č. 1</t>
  </si>
  <si>
    <t>Tvorba</t>
  </si>
  <si>
    <t>Tabulka č. 4</t>
  </si>
  <si>
    <t>Tabulka č. 5</t>
  </si>
  <si>
    <t>Tabulka č. 6</t>
  </si>
  <si>
    <t>Tabulka č.11</t>
  </si>
  <si>
    <t>NTK Praha</t>
  </si>
  <si>
    <t>CZVV Praha</t>
  </si>
  <si>
    <t>NTK</t>
  </si>
  <si>
    <t>CZVV</t>
  </si>
  <si>
    <t>ESF a TP CELKEM CZVV</t>
  </si>
  <si>
    <t>CZVV CELKEM</t>
  </si>
  <si>
    <t>3299 - HN</t>
  </si>
  <si>
    <t>DZS - česko švýcarská spolupráce ze SR</t>
  </si>
  <si>
    <t>3299 - G6</t>
  </si>
  <si>
    <t>3299 - G4</t>
  </si>
  <si>
    <t>ÚIV - ISPROFIN</t>
  </si>
  <si>
    <t>NTK CELKEM</t>
  </si>
  <si>
    <t>3421 - 08</t>
  </si>
  <si>
    <t>ostatní soutěže mimo OPŘO</t>
  </si>
  <si>
    <t>3314 - 06</t>
  </si>
  <si>
    <t>NTK-KMENOVÁ ČINNOST</t>
  </si>
  <si>
    <t>NTK - výdaje ISPROFIN</t>
  </si>
  <si>
    <t>NTK-PROJEKTY</t>
  </si>
  <si>
    <t>MJAK-OST.MIMO PROJ. A KMEN.ČIN.</t>
  </si>
  <si>
    <t>3299 - FY</t>
  </si>
  <si>
    <t>CZVV PO - kmenová činnost</t>
  </si>
  <si>
    <t>3299 - FZ</t>
  </si>
  <si>
    <t>CZVV - PO ostatní</t>
  </si>
  <si>
    <t>ANTIDOPINGOVÝ VÝBOR-KMEN.ČIN.</t>
  </si>
  <si>
    <t>rok 2009</t>
  </si>
  <si>
    <t>Stav k 1.1.2009</t>
  </si>
  <si>
    <t>Peněžní fondy organizací po přídělu ze ZVH v r. 2010</t>
  </si>
  <si>
    <t>Běžný účet FKSP</t>
  </si>
  <si>
    <t>abs. rozdíl</t>
  </si>
  <si>
    <t>Porovnání rozpočtu celkových nákladů a skutečnosti OPŘO za rok 2010</t>
  </si>
  <si>
    <t>Upravený rozpočet OPŘO na rok 2010 včetně nároků</t>
  </si>
  <si>
    <t>Celkový upravený rozpočet na projekty spolufinancované EU OPŘO na rok 2010</t>
  </si>
  <si>
    <t>Porovnání rozpočtu ONIV celkem a skutečnosti OPŘO za rok 2010</t>
  </si>
  <si>
    <t>Porovnání rozpočtovaných výnosů se skutečností za rok 2010</t>
  </si>
  <si>
    <t>Přehled o hospodářských výsledcích OPŘO celkem za rok 2010</t>
  </si>
  <si>
    <t>Výsledek hospodaření OPŘO za rok 2010 - hlavní činnost</t>
  </si>
  <si>
    <t>Výsledek hospodaření OPŘO za rok 2010 - jiná činnost</t>
  </si>
  <si>
    <t>Stav k 1.1.2010</t>
  </si>
  <si>
    <t>Stav k 31.12.2010</t>
  </si>
  <si>
    <t>Změna stavu za rok 2010 (4-1)</t>
  </si>
  <si>
    <t>Č.pol.</t>
  </si>
  <si>
    <t>Název položky</t>
  </si>
  <si>
    <t>PC ČT</t>
  </si>
  <si>
    <t>A</t>
  </si>
  <si>
    <t>NÁKLADY</t>
  </si>
  <si>
    <t>I.</t>
  </si>
  <si>
    <t>Náklady z činnosti</t>
  </si>
  <si>
    <t>1.</t>
  </si>
  <si>
    <t>2.</t>
  </si>
  <si>
    <t>3.</t>
  </si>
  <si>
    <t>Spotřeba jiných neskladovatelných dodávek</t>
  </si>
  <si>
    <t>4.</t>
  </si>
  <si>
    <t>5.</t>
  </si>
  <si>
    <t>6.</t>
  </si>
  <si>
    <t>7.</t>
  </si>
  <si>
    <t>8.</t>
  </si>
  <si>
    <t>9.</t>
  </si>
  <si>
    <t>11.</t>
  </si>
  <si>
    <t>12.</t>
  </si>
  <si>
    <t>Jiné sociální pojištění</t>
  </si>
  <si>
    <t>13.</t>
  </si>
  <si>
    <t>14.</t>
  </si>
  <si>
    <t>Jiné sociální náklady</t>
  </si>
  <si>
    <t>15.</t>
  </si>
  <si>
    <t>16.</t>
  </si>
  <si>
    <t>17.</t>
  </si>
  <si>
    <t>Jiné daně a poplatky</t>
  </si>
  <si>
    <t>19.</t>
  </si>
  <si>
    <t>20.</t>
  </si>
  <si>
    <t>Jiné pokuty a penále</t>
  </si>
  <si>
    <t>21.</t>
  </si>
  <si>
    <t>22.</t>
  </si>
  <si>
    <t>23.</t>
  </si>
  <si>
    <t>547</t>
  </si>
  <si>
    <t>24.</t>
  </si>
  <si>
    <t>Tvorba fondů</t>
  </si>
  <si>
    <t>25.</t>
  </si>
  <si>
    <t>Odpisy dlouhodobého majetku</t>
  </si>
  <si>
    <t>26.</t>
  </si>
  <si>
    <t>Zůstatková cena prodaného dlouhodobého  nehmotného majetku</t>
  </si>
  <si>
    <t>27.</t>
  </si>
  <si>
    <t>Zůstatková cena prodaného dlouhodobého  hmotného majetku</t>
  </si>
  <si>
    <t>28.</t>
  </si>
  <si>
    <t>Prodané pozemky</t>
  </si>
  <si>
    <t>29.</t>
  </si>
  <si>
    <t>Tvorba a zúčtování rezerv</t>
  </si>
  <si>
    <t>555</t>
  </si>
  <si>
    <t>30.</t>
  </si>
  <si>
    <t>Tvorba a zúčtování opravných položek</t>
  </si>
  <si>
    <t>31.</t>
  </si>
  <si>
    <t>Náklady z odepsaných  pohledávek</t>
  </si>
  <si>
    <t>557</t>
  </si>
  <si>
    <t>32.</t>
  </si>
  <si>
    <t>Ostatní náklady z činnosti</t>
  </si>
  <si>
    <t>II.</t>
  </si>
  <si>
    <t>Finanční náklady</t>
  </si>
  <si>
    <t>562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</si>
  <si>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</si>
  <si>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</si>
  <si>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</si>
  <si>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</si>
  <si>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</si>
  <si>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</si>
  <si>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nároky na prostředky státního rozpočtu, rozpočtů územních samosprávných celků a státních fondů</t>
  </si>
  <si>
    <t>Náklady na nároky na prostředky státního rozpočtu</t>
  </si>
  <si>
    <t>571</t>
  </si>
  <si>
    <t>Náklady na nároky na prostředky rozpočtů územních samospr. celků</t>
  </si>
  <si>
    <t>572</t>
  </si>
  <si>
    <t>Náklady na ostatní nároky</t>
  </si>
  <si>
    <t>574</t>
  </si>
  <si>
    <t>B.</t>
  </si>
  <si>
    <t>VÝNOSY</t>
  </si>
  <si>
    <t>Výnosy z činnosti</t>
  </si>
  <si>
    <t>Výnosy z prodeje vlastních výrobků</t>
  </si>
  <si>
    <t>Výnosy z prodeje služeb</t>
  </si>
  <si>
    <t>Výnosy z pronájmu</t>
  </si>
  <si>
    <t>603</t>
  </si>
  <si>
    <t>Výnosy z prodaného zboží</t>
  </si>
  <si>
    <t>Jiné výnosy z vlastních výkonů</t>
  </si>
  <si>
    <t>609</t>
  </si>
  <si>
    <t>Změna stavu nedokončené výroby</t>
  </si>
  <si>
    <t>10.</t>
  </si>
  <si>
    <t>Změna stavu polotovarů</t>
  </si>
  <si>
    <t>Změna stavu výrobků</t>
  </si>
  <si>
    <t xml:space="preserve">Změna stavu ostatních zásob  </t>
  </si>
  <si>
    <t>18.</t>
  </si>
  <si>
    <t>Výnosy z odepsaných pohledávek</t>
  </si>
  <si>
    <t>Výnosy z prodeje materiálu</t>
  </si>
  <si>
    <t>Výnosy z prodeje dlouhodobého nehmotného majetku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</si>
  <si>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</si>
  <si>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</si>
  <si>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</si>
  <si>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</si>
  <si>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</si>
  <si>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</si>
  <si>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</si>
  <si>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Finanční výnosy</t>
  </si>
  <si>
    <t>662</t>
  </si>
  <si>
    <t>663</t>
  </si>
  <si>
    <t>Výnosy z přecenění reálnou hodnotou</t>
  </si>
  <si>
    <t>664</t>
  </si>
  <si>
    <t>Ostatní finanční výnosy</t>
  </si>
  <si>
    <t>669</t>
  </si>
  <si>
    <t>IV.</t>
  </si>
  <si>
    <t>Výnosy z nároků na prostředky státního rozpočtu, rozpočtů územních samosprávných celků a státních fondů</t>
  </si>
  <si>
    <t xml:space="preserve">Výnosy z nároků na prostředky státního rozpočtu </t>
  </si>
  <si>
    <t>671</t>
  </si>
  <si>
    <t xml:space="preserve">Výnosy z nároků na prostředky rozpočtů územních samospr. celků </t>
  </si>
  <si>
    <t>672</t>
  </si>
  <si>
    <t>Výnosy z nároků na prostředky státních fondů</t>
  </si>
  <si>
    <t>673</t>
  </si>
  <si>
    <t xml:space="preserve">Výnosy z ostatních nároků </t>
  </si>
  <si>
    <t>674</t>
  </si>
  <si>
    <t>VI.</t>
  </si>
  <si>
    <t>VÝSLEDEK HOSPODAŘENÍ</t>
  </si>
  <si>
    <t>Výsledek hospodaření před zdaněním</t>
  </si>
  <si>
    <t>-</t>
  </si>
  <si>
    <t>Výsledek hospodaření po zdanění</t>
  </si>
  <si>
    <t>5331   (5336)                 01</t>
  </si>
  <si>
    <t>5331 (5336)                   02</t>
  </si>
  <si>
    <t>5331    (5336)                03</t>
  </si>
  <si>
    <t>5331    (5336)                04</t>
  </si>
  <si>
    <t>5331  (5336)                  05</t>
  </si>
  <si>
    <t>5331 (5336)</t>
  </si>
  <si>
    <t>DZS - souhrn progrmů kulturního dědictví</t>
  </si>
  <si>
    <t>3299 -11</t>
  </si>
  <si>
    <t>3299 -AN</t>
  </si>
  <si>
    <t>3809 - 16</t>
  </si>
  <si>
    <t>DZS-účel. podpora na aplikovaný VaV</t>
  </si>
  <si>
    <t>3299 - D6</t>
  </si>
  <si>
    <t>ÚIV mezinárodní konference a semináře</t>
  </si>
  <si>
    <t>ÚIV-VAV ÚČEL.podpora aplikovaného výzkumu</t>
  </si>
  <si>
    <t>5336                    01</t>
  </si>
  <si>
    <t>5336                    02</t>
  </si>
  <si>
    <t>5336                    03</t>
  </si>
  <si>
    <t>5336                    04</t>
  </si>
  <si>
    <t>5336                    05</t>
  </si>
  <si>
    <t>3299 - GU</t>
  </si>
  <si>
    <t>ÚIV- OP VpK 2007-13 Kompetence I z EU</t>
  </si>
  <si>
    <t>3299 - GT</t>
  </si>
  <si>
    <t>ÚIV - OP VpK 2007-13 Kompetence I ze SR</t>
  </si>
  <si>
    <t>3299 - GW</t>
  </si>
  <si>
    <t>ÚIV - OP VpK 2007-13 OP VpK Kompetence II z EU</t>
  </si>
  <si>
    <t>3299 - GV</t>
  </si>
  <si>
    <t>ÚIV - OP VpK 2007-13 Kompetence II ze SR</t>
  </si>
  <si>
    <t>3299 - IX</t>
  </si>
  <si>
    <t>ÚIV OP VpK 2007-13 Inform.a publicita ze EU</t>
  </si>
  <si>
    <t>3299 - 79</t>
  </si>
  <si>
    <t>ÚIV- OP VpK 2007-13 Inform.a publicita ze SR</t>
  </si>
  <si>
    <t>3299 - HX</t>
  </si>
  <si>
    <t>ÚIV OP Vpk 2007-13 Podpora z EU</t>
  </si>
  <si>
    <t>3299 - HW</t>
  </si>
  <si>
    <t>ÚIV OP VpK 2007-13 Podpora ze SR</t>
  </si>
  <si>
    <t>3299 - IL</t>
  </si>
  <si>
    <t>ÚIV OP VpK 2007-13 odb. 72 Audit z EU</t>
  </si>
  <si>
    <t>3299 - IK</t>
  </si>
  <si>
    <t>ÚIV OP VpK 2007-13 odb. 72 Audit ze SR</t>
  </si>
  <si>
    <t>3299 - IP</t>
  </si>
  <si>
    <t>ÚIV OP VpK 2007-13 odb. 72  Eftrans z EU</t>
  </si>
  <si>
    <t>3299 - IO</t>
  </si>
  <si>
    <t>ÚIV OP VpK 2007-13 odb. 72 Eftrans ze SR</t>
  </si>
  <si>
    <t>3299 - IN</t>
  </si>
  <si>
    <t>ÚIV OP VpK 2007-13 odb. 72 Q-ram z EU</t>
  </si>
  <si>
    <t>3299 - IM</t>
  </si>
  <si>
    <t>ÚIV OP VpK 2007-13 odb.72 Q-ram ze SR</t>
  </si>
  <si>
    <t>3809 - 43</t>
  </si>
  <si>
    <t>ÚIV - OP VaVpI 2007-13 z EU</t>
  </si>
  <si>
    <t>3809 - 38</t>
  </si>
  <si>
    <t>ÚIV-OP VaVpI 2007-13 ze SR</t>
  </si>
  <si>
    <t>3299 - FA</t>
  </si>
  <si>
    <t>NIDM OP VpK 2007-13 Klíče pro život z EU</t>
  </si>
  <si>
    <t>3299 - F9</t>
  </si>
  <si>
    <t>NIDM OP VpK 2007-13 Klíče pro život ze SR</t>
  </si>
  <si>
    <t>3299 - E4</t>
  </si>
  <si>
    <t>NIDM OP VpK 2007-13 Abs. kap. z EU</t>
  </si>
  <si>
    <t>3299 - E3</t>
  </si>
  <si>
    <t>NIDM 2007-13 OP VpK Abs. kap. ze SR</t>
  </si>
  <si>
    <t>3314 - 10</t>
  </si>
  <si>
    <t>NTK projekty OP LZaZ 2007-13 z EU</t>
  </si>
  <si>
    <t>3314 - 09</t>
  </si>
  <si>
    <t>NTK OP LZaZ 2007-13 projekty ze SR</t>
  </si>
  <si>
    <t>3314 - 12</t>
  </si>
  <si>
    <t>NTK OP VpK 2007-13 odb. 72 Eftrans z EU</t>
  </si>
  <si>
    <t>3314 - 11</t>
  </si>
  <si>
    <t>NTK OP VpK 2007-13 odb. 72 Eftrans ze SR</t>
  </si>
  <si>
    <t>ESF a TP CELKEM NTK</t>
  </si>
  <si>
    <t>3299 - DS</t>
  </si>
  <si>
    <t>CZVV 2007-13 OP VpK IPn Maturita z EU</t>
  </si>
  <si>
    <t>3299 - DR</t>
  </si>
  <si>
    <t>CZVV 2007-13 OP VpK IPn Maturita ze SR</t>
  </si>
  <si>
    <t>SR</t>
  </si>
  <si>
    <t>NA</t>
  </si>
  <si>
    <t>Tab. č. 1 a</t>
  </si>
  <si>
    <t xml:space="preserve">Upravený rozpočet 2010 - v členění na rozpis rozpočtu v databázi ISROS a skutečně přidělené finanční prostředky na základě limitu v ČNB </t>
  </si>
  <si>
    <t>platy</t>
  </si>
  <si>
    <t>OON</t>
  </si>
  <si>
    <t>odv.</t>
  </si>
  <si>
    <t>Odvody celkem</t>
  </si>
  <si>
    <t>OBV</t>
  </si>
  <si>
    <t>KČ + projekty</t>
  </si>
  <si>
    <t>ESF - rozpočet</t>
  </si>
  <si>
    <t>ESF - nároky</t>
  </si>
  <si>
    <t>C e l k e m</t>
  </si>
  <si>
    <t>banka celkem</t>
  </si>
  <si>
    <t>v tom SR</t>
  </si>
  <si>
    <t xml:space="preserve">             ESF</t>
  </si>
  <si>
    <t>rozdíl -přesun do nároků v r. 2011</t>
  </si>
  <si>
    <t xml:space="preserve">odvody </t>
  </si>
  <si>
    <t>Celková rekapitulace</t>
  </si>
  <si>
    <t>Rozpočet (kmenová činnost, rez. projekty a účel. vym.úkoly)</t>
  </si>
  <si>
    <t>Limit v ČNB</t>
  </si>
  <si>
    <t xml:space="preserve">    v tom:    SR</t>
  </si>
  <si>
    <t xml:space="preserve">                 ESF</t>
  </si>
  <si>
    <t xml:space="preserve"> </t>
  </si>
  <si>
    <t>ÚIV</t>
  </si>
  <si>
    <t>3299 - 49</t>
  </si>
  <si>
    <t>NIDM OST.MEZINÁR.SEMINÁŘE A KONFERENCE</t>
  </si>
  <si>
    <t>3421 - 05</t>
  </si>
  <si>
    <t>NIDM program podpory práce s dětmi a mládeží</t>
  </si>
  <si>
    <t>5399 - 08</t>
  </si>
  <si>
    <t>NIDM-KRIMINALITA</t>
  </si>
  <si>
    <t>3314 - 13</t>
  </si>
  <si>
    <t>NTK - mezinárodní konference a semináře</t>
  </si>
  <si>
    <t>3809 - 32</t>
  </si>
  <si>
    <t>3299 - GA</t>
  </si>
  <si>
    <t>převod z VPS na OPŘO část 2</t>
  </si>
  <si>
    <t>3292 - 03</t>
  </si>
  <si>
    <t>PC Těšín - nár.menšiny a multikult.výchova</t>
  </si>
  <si>
    <t>3299 - AI</t>
  </si>
  <si>
    <t>PC TĚŠ.-OST.MIMO PROJ. A KMEN. ČIN.</t>
  </si>
  <si>
    <t>NTK-OST.MIMO PROJ. A KMEN.ČIN.</t>
  </si>
  <si>
    <t>ÚIV-OST.MIMO PROJ. A KMEN.ČIN.</t>
  </si>
  <si>
    <t>KJWF inst. podpora na mez.spolupr.</t>
  </si>
  <si>
    <t>NTK - účel. podpora aplikovaného výzkumu</t>
  </si>
  <si>
    <t>rok 2010</t>
  </si>
  <si>
    <t>Stav po přídělu v r. 2011</t>
  </si>
  <si>
    <t>bez převedených ESF</t>
  </si>
  <si>
    <t>z činnosti</t>
  </si>
  <si>
    <t>celkem bez RF ESF</t>
  </si>
  <si>
    <t>Fond rezervní celkový</t>
  </si>
  <si>
    <t>Rozdíl            - úspora          + překročení (ke sl. 2)</t>
  </si>
  <si>
    <t>Rozdíl            - úspora        + překročení</t>
  </si>
  <si>
    <t>Výnosy *)</t>
  </si>
  <si>
    <t>*) Dle metodiky účetnictví jsou prostředky ze zahraniční pro DZS NAEP a NIDM NA Mládež účtovány na účet 671 Výnosy z nároků na prostředky státního rozpočtu.</t>
  </si>
  <si>
    <t>*) V rámci výnosů jsou uvedeny i předpokládané prostředky ze zahraniční pro DZS NAEP a NIDM NA Mládež, které dle metodiky účetnictví přísluší na účet 671 Výnosy z nároků na prostředky státního rozpočtu; předpokládané výnosy z činnosti byly rozepsány ve výši 34 289 tis. Kč.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</si>
</sst>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/yy"/>
    <numFmt numFmtId="166" formatCode="d/m/yy\ h:mm"/>
    <numFmt numFmtId="167" formatCode="d/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0.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dd/mm/yy"/>
    <numFmt numFmtId="181" formatCode="000\ 00"/>
    <numFmt numFmtId="182" formatCode="0.0000000"/>
    <numFmt numFmtId="183" formatCode="0_ ;[Red]\-0\ "/>
    <numFmt numFmtId="184" formatCode="#,##0_ ;[Red]\-#,##0\ "/>
    <numFmt numFmtId="185" formatCode="[$€-2]\ #\ ##,000_);[Red]\([$€-2]\ #\ ##,000\)"/>
  </numFmts>
  <fonts count="41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2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sz val="8"/>
      <name val="Arial"/>
      <family val="0"/>
    </font>
    <font>
      <i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0"/>
    </font>
    <font>
      <b/>
      <sz val="12"/>
      <color indexed="10"/>
      <name val="Arial CE"/>
      <family val="2"/>
    </font>
    <font>
      <b/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0"/>
      <color indexed="10"/>
      <name val="Arial"/>
      <family val="2"/>
    </font>
    <font>
      <sz val="11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9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622">
    <xf numFmtId="0" fontId="0" fillId="0" borderId="0" xfId="0" applyAlignment="1">
      <alignment/>
    </xf>
    <xf numFmtId="0" fontId="2" fillId="0" borderId="0" xfId="47">
      <alignment/>
      <protection/>
    </xf>
    <xf numFmtId="0" fontId="4" fillId="0" borderId="0" xfId="49" applyFont="1">
      <alignment/>
      <protection/>
    </xf>
    <xf numFmtId="0" fontId="4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0" xfId="47" applyFont="1" applyAlignment="1">
      <alignment horizontal="center" vertical="center" wrapText="1"/>
      <protection/>
    </xf>
    <xf numFmtId="0" fontId="5" fillId="0" borderId="12" xfId="47" applyFont="1" applyBorder="1" applyAlignment="1">
      <alignment horizontal="center"/>
      <protection/>
    </xf>
    <xf numFmtId="0" fontId="5" fillId="0" borderId="13" xfId="47" applyFont="1" applyBorder="1" applyAlignment="1">
      <alignment horizontal="center"/>
      <protection/>
    </xf>
    <xf numFmtId="2" fontId="2" fillId="0" borderId="0" xfId="47" applyNumberFormat="1">
      <alignment/>
      <protection/>
    </xf>
    <xf numFmtId="0" fontId="5" fillId="0" borderId="14" xfId="47" applyFont="1" applyBorder="1">
      <alignment/>
      <protection/>
    </xf>
    <xf numFmtId="3" fontId="2" fillId="0" borderId="15" xfId="47" applyNumberFormat="1" applyBorder="1">
      <alignment/>
      <protection/>
    </xf>
    <xf numFmtId="4" fontId="2" fillId="0" borderId="15" xfId="47" applyNumberFormat="1" applyBorder="1">
      <alignment/>
      <protection/>
    </xf>
    <xf numFmtId="4" fontId="2" fillId="0" borderId="16" xfId="47" applyNumberFormat="1" applyBorder="1">
      <alignment/>
      <protection/>
    </xf>
    <xf numFmtId="0" fontId="5" fillId="0" borderId="17" xfId="47" applyFont="1" applyBorder="1">
      <alignment/>
      <protection/>
    </xf>
    <xf numFmtId="4" fontId="2" fillId="0" borderId="18" xfId="47" applyNumberFormat="1" applyBorder="1">
      <alignment/>
      <protection/>
    </xf>
    <xf numFmtId="4" fontId="2" fillId="0" borderId="19" xfId="47" applyNumberFormat="1" applyBorder="1">
      <alignment/>
      <protection/>
    </xf>
    <xf numFmtId="0" fontId="5" fillId="0" borderId="10" xfId="47" applyFont="1" applyBorder="1">
      <alignment/>
      <protection/>
    </xf>
    <xf numFmtId="4" fontId="5" fillId="0" borderId="10" xfId="47" applyNumberFormat="1" applyFont="1" applyBorder="1">
      <alignment/>
      <protection/>
    </xf>
    <xf numFmtId="4" fontId="2" fillId="0" borderId="16" xfId="47" applyNumberFormat="1" applyFont="1" applyBorder="1">
      <alignment/>
      <protection/>
    </xf>
    <xf numFmtId="0" fontId="5" fillId="0" borderId="0" xfId="47" applyFont="1" applyBorder="1">
      <alignment/>
      <protection/>
    </xf>
    <xf numFmtId="4" fontId="5" fillId="0" borderId="0" xfId="47" applyNumberFormat="1" applyFont="1" applyBorder="1" applyAlignment="1">
      <alignment horizontal="right"/>
      <protection/>
    </xf>
    <xf numFmtId="4" fontId="5" fillId="0" borderId="0" xfId="47" applyNumberFormat="1" applyFont="1" applyBorder="1">
      <alignment/>
      <protection/>
    </xf>
    <xf numFmtId="0" fontId="5" fillId="0" borderId="10" xfId="47" applyFont="1" applyBorder="1" applyAlignment="1">
      <alignment horizontal="center"/>
      <protection/>
    </xf>
    <xf numFmtId="4" fontId="2" fillId="0" borderId="15" xfId="47" applyNumberFormat="1" applyFont="1" applyBorder="1">
      <alignment/>
      <protection/>
    </xf>
    <xf numFmtId="0" fontId="5" fillId="0" borderId="0" xfId="50" applyFont="1" applyAlignment="1">
      <alignment horizontal="right"/>
      <protection/>
    </xf>
    <xf numFmtId="0" fontId="2" fillId="0" borderId="12" xfId="47" applyBorder="1">
      <alignment/>
      <protection/>
    </xf>
    <xf numFmtId="0" fontId="2" fillId="0" borderId="20" xfId="47" applyBorder="1">
      <alignment/>
      <protection/>
    </xf>
    <xf numFmtId="0" fontId="2" fillId="0" borderId="21" xfId="47" applyBorder="1">
      <alignment/>
      <protection/>
    </xf>
    <xf numFmtId="0" fontId="5" fillId="0" borderId="11" xfId="47" applyFont="1" applyBorder="1">
      <alignment/>
      <protection/>
    </xf>
    <xf numFmtId="0" fontId="2" fillId="0" borderId="22" xfId="47" applyBorder="1">
      <alignment/>
      <protection/>
    </xf>
    <xf numFmtId="0" fontId="5" fillId="0" borderId="23" xfId="47" applyFont="1" applyBorder="1" applyAlignment="1">
      <alignment horizontal="center" vertical="center" wrapText="1"/>
      <protection/>
    </xf>
    <xf numFmtId="0" fontId="5" fillId="0" borderId="24" xfId="47" applyFont="1" applyBorder="1" applyAlignment="1">
      <alignment horizontal="center" vertical="center" wrapText="1"/>
      <protection/>
    </xf>
    <xf numFmtId="0" fontId="2" fillId="0" borderId="25" xfId="47" applyBorder="1" applyAlignment="1">
      <alignment horizontal="center" vertical="center" wrapText="1"/>
      <protection/>
    </xf>
    <xf numFmtId="0" fontId="2" fillId="0" borderId="0" xfId="47" applyBorder="1">
      <alignment/>
      <protection/>
    </xf>
    <xf numFmtId="4" fontId="2" fillId="0" borderId="0" xfId="47" applyNumberFormat="1">
      <alignment/>
      <protection/>
    </xf>
    <xf numFmtId="0" fontId="2" fillId="0" borderId="26" xfId="47" applyBorder="1" applyAlignment="1">
      <alignment horizontal="center"/>
      <protection/>
    </xf>
    <xf numFmtId="0" fontId="2" fillId="0" borderId="27" xfId="47" applyBorder="1" applyAlignment="1">
      <alignment horizontal="center"/>
      <protection/>
    </xf>
    <xf numFmtId="0" fontId="5" fillId="24" borderId="14" xfId="47" applyFont="1" applyFill="1" applyBorder="1">
      <alignment/>
      <protection/>
    </xf>
    <xf numFmtId="4" fontId="2" fillId="24" borderId="15" xfId="47" applyNumberFormat="1" applyFill="1" applyBorder="1">
      <alignment/>
      <protection/>
    </xf>
    <xf numFmtId="4" fontId="2" fillId="24" borderId="18" xfId="47" applyNumberFormat="1" applyFill="1" applyBorder="1">
      <alignment/>
      <protection/>
    </xf>
    <xf numFmtId="0" fontId="2" fillId="24" borderId="0" xfId="47" applyFill="1">
      <alignment/>
      <protection/>
    </xf>
    <xf numFmtId="4" fontId="5" fillId="0" borderId="21" xfId="47" applyNumberFormat="1" applyFont="1" applyBorder="1">
      <alignment/>
      <protection/>
    </xf>
    <xf numFmtId="0" fontId="2" fillId="0" borderId="15" xfId="47" applyBorder="1" applyAlignment="1">
      <alignment horizontal="center"/>
      <protection/>
    </xf>
    <xf numFmtId="0" fontId="2" fillId="0" borderId="18" xfId="47" applyBorder="1" applyAlignment="1">
      <alignment horizontal="center"/>
      <protection/>
    </xf>
    <xf numFmtId="0" fontId="2" fillId="0" borderId="12" xfId="47" applyBorder="1" applyAlignment="1">
      <alignment horizontal="center" vertical="center" wrapText="1"/>
      <protection/>
    </xf>
    <xf numFmtId="0" fontId="5" fillId="0" borderId="28" xfId="47" applyFont="1" applyBorder="1">
      <alignment/>
      <protection/>
    </xf>
    <xf numFmtId="0" fontId="2" fillId="0" borderId="29" xfId="47" applyBorder="1">
      <alignment/>
      <protection/>
    </xf>
    <xf numFmtId="3" fontId="5" fillId="0" borderId="14" xfId="47" applyNumberFormat="1" applyFont="1" applyBorder="1">
      <alignment/>
      <protection/>
    </xf>
    <xf numFmtId="4" fontId="5" fillId="0" borderId="14" xfId="47" applyNumberFormat="1" applyFont="1" applyBorder="1">
      <alignment/>
      <protection/>
    </xf>
    <xf numFmtId="4" fontId="5" fillId="0" borderId="28" xfId="47" applyNumberFormat="1" applyFont="1" applyBorder="1">
      <alignment/>
      <protection/>
    </xf>
    <xf numFmtId="0" fontId="5" fillId="0" borderId="30" xfId="47" applyFont="1" applyBorder="1">
      <alignment/>
      <protection/>
    </xf>
    <xf numFmtId="0" fontId="2" fillId="0" borderId="28" xfId="47" applyBorder="1">
      <alignment/>
      <protection/>
    </xf>
    <xf numFmtId="0" fontId="5" fillId="0" borderId="31" xfId="47" applyFont="1" applyBorder="1">
      <alignment/>
      <protection/>
    </xf>
    <xf numFmtId="3" fontId="5" fillId="0" borderId="28" xfId="47" applyNumberFormat="1" applyFont="1" applyBorder="1">
      <alignment/>
      <protection/>
    </xf>
    <xf numFmtId="0" fontId="2" fillId="0" borderId="32" xfId="47" applyBorder="1">
      <alignment/>
      <protection/>
    </xf>
    <xf numFmtId="0" fontId="2" fillId="0" borderId="13" xfId="47" applyBorder="1">
      <alignment/>
      <protection/>
    </xf>
    <xf numFmtId="0" fontId="5" fillId="0" borderId="21" xfId="47" applyFont="1" applyBorder="1" applyAlignment="1">
      <alignment horizontal="center" vertical="center" wrapText="1"/>
      <protection/>
    </xf>
    <xf numFmtId="0" fontId="2" fillId="0" borderId="33" xfId="47" applyBorder="1">
      <alignment/>
      <protection/>
    </xf>
    <xf numFmtId="0" fontId="2" fillId="0" borderId="34" xfId="47" applyBorder="1">
      <alignment/>
      <protection/>
    </xf>
    <xf numFmtId="0" fontId="5" fillId="0" borderId="20" xfId="47" applyFont="1" applyBorder="1" applyAlignment="1">
      <alignment horizontal="center"/>
      <protection/>
    </xf>
    <xf numFmtId="4" fontId="2" fillId="0" borderId="29" xfId="47" applyNumberFormat="1" applyBorder="1">
      <alignment/>
      <protection/>
    </xf>
    <xf numFmtId="4" fontId="2" fillId="24" borderId="29" xfId="47" applyNumberFormat="1" applyFill="1" applyBorder="1">
      <alignment/>
      <protection/>
    </xf>
    <xf numFmtId="4" fontId="2" fillId="24" borderId="16" xfId="47" applyNumberFormat="1" applyFill="1" applyBorder="1">
      <alignment/>
      <protection/>
    </xf>
    <xf numFmtId="3" fontId="2" fillId="24" borderId="15" xfId="47" applyNumberFormat="1" applyFill="1" applyBorder="1">
      <alignment/>
      <protection/>
    </xf>
    <xf numFmtId="3" fontId="2" fillId="24" borderId="16" xfId="47" applyNumberFormat="1" applyFill="1" applyBorder="1">
      <alignment/>
      <protection/>
    </xf>
    <xf numFmtId="4" fontId="2" fillId="24" borderId="35" xfId="47" applyNumberFormat="1" applyFill="1" applyBorder="1">
      <alignment/>
      <protection/>
    </xf>
    <xf numFmtId="0" fontId="5" fillId="24" borderId="10" xfId="47" applyFont="1" applyFill="1" applyBorder="1" applyAlignment="1">
      <alignment horizontal="center"/>
      <protection/>
    </xf>
    <xf numFmtId="4" fontId="5" fillId="24" borderId="22" xfId="47" applyNumberFormat="1" applyFont="1" applyFill="1" applyBorder="1">
      <alignment/>
      <protection/>
    </xf>
    <xf numFmtId="4" fontId="5" fillId="24" borderId="10" xfId="47" applyNumberFormat="1" applyFont="1" applyFill="1" applyBorder="1">
      <alignment/>
      <protection/>
    </xf>
    <xf numFmtId="4" fontId="2" fillId="24" borderId="15" xfId="47" applyNumberFormat="1" applyFont="1" applyFill="1" applyBorder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quotePrefix="1">
      <alignment/>
      <protection/>
    </xf>
    <xf numFmtId="0" fontId="8" fillId="0" borderId="0" xfId="48" applyFont="1">
      <alignment/>
      <protection/>
    </xf>
    <xf numFmtId="14" fontId="4" fillId="0" borderId="0" xfId="48" applyNumberFormat="1" applyFont="1" applyFill="1" quotePrefix="1">
      <alignment/>
      <protection/>
    </xf>
    <xf numFmtId="0" fontId="2" fillId="0" borderId="0" xfId="48">
      <alignment/>
      <protection/>
    </xf>
    <xf numFmtId="0" fontId="4" fillId="0" borderId="0" xfId="52" applyFont="1">
      <alignment/>
      <protection/>
    </xf>
    <xf numFmtId="14" fontId="4" fillId="0" borderId="0" xfId="48" applyNumberFormat="1" applyFont="1" quotePrefix="1">
      <alignment/>
      <protection/>
    </xf>
    <xf numFmtId="0" fontId="4" fillId="0" borderId="0" xfId="48" applyFont="1" applyAlignment="1">
      <alignment horizontal="right"/>
      <protection/>
    </xf>
    <xf numFmtId="0" fontId="4" fillId="0" borderId="0" xfId="51" applyFont="1">
      <alignment/>
      <protection/>
    </xf>
    <xf numFmtId="0" fontId="2" fillId="0" borderId="0" xfId="52" applyFont="1" applyAlignment="1">
      <alignment horizontal="right"/>
      <protection/>
    </xf>
    <xf numFmtId="0" fontId="8" fillId="0" borderId="0" xfId="48" applyFont="1" applyFill="1">
      <alignment/>
      <protection/>
    </xf>
    <xf numFmtId="0" fontId="6" fillId="0" borderId="0" xfId="0" applyFont="1" applyAlignment="1">
      <alignment/>
    </xf>
    <xf numFmtId="0" fontId="0" fillId="0" borderId="36" xfId="0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0" borderId="14" xfId="50" applyFont="1" applyBorder="1">
      <alignment/>
      <protection/>
    </xf>
    <xf numFmtId="3" fontId="0" fillId="0" borderId="29" xfId="0" applyNumberFormat="1" applyFont="1" applyBorder="1" applyAlignment="1">
      <alignment/>
    </xf>
    <xf numFmtId="0" fontId="6" fillId="0" borderId="37" xfId="0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24" borderId="36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4" borderId="14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24" borderId="29" xfId="0" applyNumberFormat="1" applyFill="1" applyBorder="1" applyAlignment="1">
      <alignment/>
    </xf>
    <xf numFmtId="0" fontId="6" fillId="0" borderId="43" xfId="0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24" borderId="37" xfId="0" applyNumberFormat="1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0" fontId="2" fillId="0" borderId="0" xfId="50">
      <alignment/>
      <protection/>
    </xf>
    <xf numFmtId="0" fontId="11" fillId="0" borderId="0" xfId="50" applyFont="1">
      <alignment/>
      <protection/>
    </xf>
    <xf numFmtId="0" fontId="4" fillId="0" borderId="0" xfId="49" applyFont="1" applyAlignment="1">
      <alignment horizontal="right"/>
      <protection/>
    </xf>
    <xf numFmtId="0" fontId="4" fillId="0" borderId="0" xfId="50" applyFont="1">
      <alignment/>
      <protection/>
    </xf>
    <xf numFmtId="0" fontId="2" fillId="0" borderId="0" xfId="50" applyAlignment="1">
      <alignment horizontal="right"/>
      <protection/>
    </xf>
    <xf numFmtId="0" fontId="2" fillId="0" borderId="0" xfId="50" applyFont="1">
      <alignment/>
      <protection/>
    </xf>
    <xf numFmtId="0" fontId="4" fillId="0" borderId="10" xfId="50" applyFont="1" applyBorder="1" applyAlignment="1">
      <alignment horizontal="center" vertical="center" wrapText="1"/>
      <protection/>
    </xf>
    <xf numFmtId="0" fontId="5" fillId="0" borderId="21" xfId="50" applyFont="1" applyBorder="1" applyAlignment="1">
      <alignment horizontal="center" vertical="center" wrapText="1"/>
      <protection/>
    </xf>
    <xf numFmtId="0" fontId="5" fillId="0" borderId="44" xfId="50" applyFont="1" applyBorder="1" applyAlignment="1">
      <alignment horizontal="center" vertical="center" wrapText="1"/>
      <protection/>
    </xf>
    <xf numFmtId="0" fontId="5" fillId="0" borderId="45" xfId="50" applyFont="1" applyBorder="1" applyAlignment="1">
      <alignment horizontal="center" vertical="center" wrapText="1"/>
      <protection/>
    </xf>
    <xf numFmtId="0" fontId="2" fillId="0" borderId="46" xfId="50" applyBorder="1">
      <alignment/>
      <protection/>
    </xf>
    <xf numFmtId="0" fontId="5" fillId="0" borderId="47" xfId="50" applyFont="1" applyBorder="1" applyAlignment="1">
      <alignment horizontal="center"/>
      <protection/>
    </xf>
    <xf numFmtId="0" fontId="5" fillId="0" borderId="48" xfId="50" applyFont="1" applyBorder="1" applyAlignment="1">
      <alignment horizontal="center"/>
      <protection/>
    </xf>
    <xf numFmtId="0" fontId="5" fillId="0" borderId="45" xfId="50" applyFont="1" applyBorder="1" applyAlignment="1">
      <alignment horizontal="center"/>
      <protection/>
    </xf>
    <xf numFmtId="173" fontId="5" fillId="0" borderId="16" xfId="50" applyNumberFormat="1" applyFont="1" applyFill="1" applyBorder="1">
      <alignment/>
      <protection/>
    </xf>
    <xf numFmtId="0" fontId="5" fillId="0" borderId="28" xfId="50" applyFont="1" applyFill="1" applyBorder="1">
      <alignment/>
      <protection/>
    </xf>
    <xf numFmtId="1" fontId="2" fillId="0" borderId="30" xfId="50" applyNumberFormat="1" applyFont="1" applyFill="1" applyBorder="1">
      <alignment/>
      <protection/>
    </xf>
    <xf numFmtId="1" fontId="2" fillId="0" borderId="15" xfId="50" applyNumberFormat="1" applyFont="1" applyFill="1" applyBorder="1">
      <alignment/>
      <protection/>
    </xf>
    <xf numFmtId="0" fontId="5" fillId="0" borderId="28" xfId="50" applyFont="1" applyBorder="1">
      <alignment/>
      <protection/>
    </xf>
    <xf numFmtId="1" fontId="2" fillId="0" borderId="30" xfId="50" applyNumberFormat="1" applyFont="1" applyBorder="1">
      <alignment/>
      <protection/>
    </xf>
    <xf numFmtId="1" fontId="2" fillId="0" borderId="15" xfId="50" applyNumberFormat="1" applyFont="1" applyBorder="1">
      <alignment/>
      <protection/>
    </xf>
    <xf numFmtId="0" fontId="5" fillId="0" borderId="28" xfId="50" applyFont="1" applyBorder="1">
      <alignment/>
      <protection/>
    </xf>
    <xf numFmtId="0" fontId="6" fillId="0" borderId="28" xfId="0" applyFont="1" applyBorder="1" applyAlignment="1">
      <alignment/>
    </xf>
    <xf numFmtId="1" fontId="2" fillId="0" borderId="31" xfId="50" applyNumberFormat="1" applyFont="1" applyBorder="1">
      <alignment/>
      <protection/>
    </xf>
    <xf numFmtId="1" fontId="2" fillId="0" borderId="18" xfId="50" applyNumberFormat="1" applyFont="1" applyBorder="1">
      <alignment/>
      <protection/>
    </xf>
    <xf numFmtId="0" fontId="6" fillId="0" borderId="32" xfId="0" applyFont="1" applyBorder="1" applyAlignment="1">
      <alignment/>
    </xf>
    <xf numFmtId="173" fontId="5" fillId="0" borderId="19" xfId="50" applyNumberFormat="1" applyFont="1" applyFill="1" applyBorder="1">
      <alignment/>
      <protection/>
    </xf>
    <xf numFmtId="0" fontId="5" fillId="0" borderId="10" xfId="50" applyFont="1" applyBorder="1">
      <alignment/>
      <protection/>
    </xf>
    <xf numFmtId="1" fontId="4" fillId="0" borderId="21" xfId="50" applyNumberFormat="1" applyFont="1" applyBorder="1">
      <alignment/>
      <protection/>
    </xf>
    <xf numFmtId="1" fontId="4" fillId="0" borderId="44" xfId="50" applyNumberFormat="1" applyFont="1" applyBorder="1">
      <alignment/>
      <protection/>
    </xf>
    <xf numFmtId="173" fontId="4" fillId="0" borderId="45" xfId="50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50" applyFont="1">
      <alignment/>
      <protection/>
    </xf>
    <xf numFmtId="0" fontId="4" fillId="0" borderId="10" xfId="50" applyFont="1" applyBorder="1">
      <alignment/>
      <protection/>
    </xf>
    <xf numFmtId="0" fontId="14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0" fillId="0" borderId="51" xfId="0" applyBorder="1" applyAlignment="1">
      <alignment horizontal="center" textRotation="90"/>
    </xf>
    <xf numFmtId="0" fontId="0" fillId="0" borderId="52" xfId="0" applyBorder="1" applyAlignment="1">
      <alignment horizontal="center" textRotation="90"/>
    </xf>
    <xf numFmtId="0" fontId="0" fillId="0" borderId="51" xfId="0" applyFill="1" applyBorder="1" applyAlignment="1">
      <alignment horizontal="center" textRotation="90" wrapTex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24" borderId="55" xfId="0" applyFill="1" applyBorder="1" applyAlignment="1">
      <alignment horizontal="center" vertical="top" wrapText="1"/>
    </xf>
    <xf numFmtId="0" fontId="0" fillId="24" borderId="43" xfId="0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2" xfId="0" applyBorder="1" applyAlignment="1">
      <alignment horizontal="left"/>
    </xf>
    <xf numFmtId="0" fontId="0" fillId="0" borderId="41" xfId="0" applyBorder="1" applyAlignment="1">
      <alignment wrapText="1"/>
    </xf>
    <xf numFmtId="3" fontId="0" fillId="0" borderId="36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4" fontId="0" fillId="0" borderId="57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wrapText="1"/>
    </xf>
    <xf numFmtId="3" fontId="0" fillId="0" borderId="26" xfId="0" applyNumberFormat="1" applyBorder="1" applyAlignment="1">
      <alignment/>
    </xf>
    <xf numFmtId="3" fontId="0" fillId="24" borderId="26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0" fontId="6" fillId="19" borderId="59" xfId="0" applyFont="1" applyFill="1" applyBorder="1" applyAlignment="1">
      <alignment horizontal="left"/>
    </xf>
    <xf numFmtId="0" fontId="6" fillId="19" borderId="45" xfId="0" applyFont="1" applyFill="1" applyBorder="1" applyAlignment="1">
      <alignment wrapText="1"/>
    </xf>
    <xf numFmtId="3" fontId="6" fillId="19" borderId="10" xfId="0" applyNumberFormat="1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3" fontId="6" fillId="19" borderId="44" xfId="0" applyNumberFormat="1" applyFont="1" applyFill="1" applyBorder="1" applyAlignment="1">
      <alignment/>
    </xf>
    <xf numFmtId="4" fontId="6" fillId="19" borderId="45" xfId="0" applyNumberFormat="1" applyFont="1" applyFill="1" applyBorder="1" applyAlignment="1">
      <alignment/>
    </xf>
    <xf numFmtId="3" fontId="6" fillId="19" borderId="60" xfId="0" applyNumberFormat="1" applyFont="1" applyFill="1" applyBorder="1" applyAlignment="1">
      <alignment/>
    </xf>
    <xf numFmtId="3" fontId="6" fillId="19" borderId="61" xfId="0" applyNumberFormat="1" applyFont="1" applyFill="1" applyBorder="1" applyAlignment="1">
      <alignment/>
    </xf>
    <xf numFmtId="0" fontId="0" fillId="0" borderId="41" xfId="0" applyFill="1" applyBorder="1" applyAlignment="1">
      <alignment wrapText="1"/>
    </xf>
    <xf numFmtId="3" fontId="0" fillId="0" borderId="15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1" xfId="0" applyNumberFormat="1" applyFill="1" applyBorder="1" applyAlignment="1">
      <alignment/>
    </xf>
    <xf numFmtId="4" fontId="0" fillId="0" borderId="51" xfId="0" applyNumberFormat="1" applyBorder="1" applyAlignment="1">
      <alignment/>
    </xf>
    <xf numFmtId="0" fontId="0" fillId="24" borderId="59" xfId="0" applyFont="1" applyFill="1" applyBorder="1" applyAlignment="1">
      <alignment horizontal="left"/>
    </xf>
    <xf numFmtId="0" fontId="0" fillId="24" borderId="45" xfId="0" applyFont="1" applyFill="1" applyBorder="1" applyAlignment="1">
      <alignment wrapText="1"/>
    </xf>
    <xf numFmtId="3" fontId="0" fillId="24" borderId="44" xfId="0" applyNumberFormat="1" applyFont="1" applyFill="1" applyBorder="1" applyAlignment="1">
      <alignment/>
    </xf>
    <xf numFmtId="3" fontId="0" fillId="24" borderId="6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6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14" fillId="0" borderId="59" xfId="0" applyFont="1" applyFill="1" applyBorder="1" applyAlignment="1">
      <alignment horizontal="left"/>
    </xf>
    <xf numFmtId="0" fontId="14" fillId="0" borderId="45" xfId="0" applyFont="1" applyFill="1" applyBorder="1" applyAlignment="1">
      <alignment wrapText="1"/>
    </xf>
    <xf numFmtId="3" fontId="14" fillId="0" borderId="44" xfId="0" applyNumberFormat="1" applyFont="1" applyFill="1" applyBorder="1" applyAlignment="1">
      <alignment/>
    </xf>
    <xf numFmtId="4" fontId="14" fillId="0" borderId="44" xfId="0" applyNumberFormat="1" applyFont="1" applyFill="1" applyBorder="1" applyAlignment="1">
      <alignment/>
    </xf>
    <xf numFmtId="2" fontId="2" fillId="0" borderId="15" xfId="47" applyNumberFormat="1" applyBorder="1">
      <alignment/>
      <protection/>
    </xf>
    <xf numFmtId="2" fontId="2" fillId="24" borderId="15" xfId="47" applyNumberFormat="1" applyFill="1" applyBorder="1">
      <alignment/>
      <protection/>
    </xf>
    <xf numFmtId="176" fontId="2" fillId="0" borderId="15" xfId="47" applyNumberFormat="1" applyBorder="1">
      <alignment/>
      <protection/>
    </xf>
    <xf numFmtId="3" fontId="0" fillId="0" borderId="36" xfId="0" applyNumberFormat="1" applyFill="1" applyBorder="1" applyAlignment="1">
      <alignment/>
    </xf>
    <xf numFmtId="4" fontId="2" fillId="0" borderId="15" xfId="47" applyNumberFormat="1" applyFont="1" applyFill="1" applyBorder="1">
      <alignment/>
      <protection/>
    </xf>
    <xf numFmtId="3" fontId="4" fillId="0" borderId="21" xfId="50" applyNumberFormat="1" applyFont="1" applyBorder="1">
      <alignment/>
      <protection/>
    </xf>
    <xf numFmtId="3" fontId="4" fillId="0" borderId="44" xfId="50" applyNumberFormat="1" applyFont="1" applyBorder="1">
      <alignment/>
      <protection/>
    </xf>
    <xf numFmtId="4" fontId="2" fillId="0" borderId="15" xfId="47" applyNumberFormat="1" applyFill="1" applyBorder="1">
      <alignment/>
      <protection/>
    </xf>
    <xf numFmtId="2" fontId="2" fillId="0" borderId="15" xfId="47" applyNumberFormat="1" applyFill="1" applyBorder="1">
      <alignment/>
      <protection/>
    </xf>
    <xf numFmtId="0" fontId="0" fillId="24" borderId="50" xfId="0" applyFill="1" applyBorder="1" applyAlignment="1">
      <alignment horizontal="center" textRotation="90" wrapText="1"/>
    </xf>
    <xf numFmtId="0" fontId="5" fillId="24" borderId="30" xfId="47" applyFont="1" applyFill="1" applyBorder="1">
      <alignment/>
      <protection/>
    </xf>
    <xf numFmtId="0" fontId="5" fillId="24" borderId="31" xfId="47" applyFont="1" applyFill="1" applyBorder="1">
      <alignment/>
      <protection/>
    </xf>
    <xf numFmtId="0" fontId="5" fillId="24" borderId="21" xfId="47" applyFont="1" applyFill="1" applyBorder="1">
      <alignment/>
      <protection/>
    </xf>
    <xf numFmtId="0" fontId="2" fillId="0" borderId="28" xfId="47" applyBorder="1" applyAlignment="1">
      <alignment horizontal="center"/>
      <protection/>
    </xf>
    <xf numFmtId="0" fontId="2" fillId="24" borderId="28" xfId="47" applyFill="1" applyBorder="1" applyAlignment="1">
      <alignment horizontal="center"/>
      <protection/>
    </xf>
    <xf numFmtId="4" fontId="2" fillId="0" borderId="29" xfId="47" applyNumberFormat="1" applyFont="1" applyBorder="1">
      <alignment/>
      <protection/>
    </xf>
    <xf numFmtId="4" fontId="5" fillId="0" borderId="22" xfId="47" applyNumberFormat="1" applyFont="1" applyBorder="1">
      <alignment/>
      <protection/>
    </xf>
    <xf numFmtId="0" fontId="2" fillId="0" borderId="62" xfId="47" applyBorder="1">
      <alignment/>
      <protection/>
    </xf>
    <xf numFmtId="0" fontId="0" fillId="10" borderId="51" xfId="0" applyFill="1" applyBorder="1" applyAlignment="1">
      <alignment horizontal="center" textRotation="90"/>
    </xf>
    <xf numFmtId="0" fontId="5" fillId="4" borderId="44" xfId="50" applyFont="1" applyFill="1" applyBorder="1" applyAlignment="1">
      <alignment horizontal="center" vertical="center" wrapText="1"/>
      <protection/>
    </xf>
    <xf numFmtId="0" fontId="5" fillId="4" borderId="48" xfId="50" applyFont="1" applyFill="1" applyBorder="1" applyAlignment="1">
      <alignment horizontal="center"/>
      <protection/>
    </xf>
    <xf numFmtId="1" fontId="2" fillId="4" borderId="15" xfId="50" applyNumberFormat="1" applyFont="1" applyFill="1" applyBorder="1">
      <alignment/>
      <protection/>
    </xf>
    <xf numFmtId="1" fontId="2" fillId="4" borderId="18" xfId="50" applyNumberFormat="1" applyFont="1" applyFill="1" applyBorder="1">
      <alignment/>
      <protection/>
    </xf>
    <xf numFmtId="1" fontId="4" fillId="4" borderId="44" xfId="50" applyNumberFormat="1" applyFont="1" applyFill="1" applyBorder="1">
      <alignment/>
      <protection/>
    </xf>
    <xf numFmtId="4" fontId="0" fillId="0" borderId="57" xfId="0" applyNumberFormat="1" applyFill="1" applyBorder="1" applyAlignment="1">
      <alignment/>
    </xf>
    <xf numFmtId="0" fontId="6" fillId="10" borderId="59" xfId="0" applyFont="1" applyFill="1" applyBorder="1" applyAlignment="1">
      <alignment horizontal="left"/>
    </xf>
    <xf numFmtId="0" fontId="6" fillId="10" borderId="45" xfId="0" applyFont="1" applyFill="1" applyBorder="1" applyAlignment="1">
      <alignment/>
    </xf>
    <xf numFmtId="3" fontId="6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0" fontId="13" fillId="0" borderId="10" xfId="50" applyFont="1" applyBorder="1" applyAlignment="1">
      <alignment horizontal="center" vertical="center" wrapText="1"/>
      <protection/>
    </xf>
    <xf numFmtId="0" fontId="13" fillId="0" borderId="21" xfId="50" applyFont="1" applyBorder="1" applyAlignment="1">
      <alignment horizontal="center" vertical="center" wrapText="1"/>
      <protection/>
    </xf>
    <xf numFmtId="0" fontId="13" fillId="0" borderId="44" xfId="50" applyFont="1" applyBorder="1" applyAlignment="1">
      <alignment horizontal="center" vertical="center" wrapText="1"/>
      <protection/>
    </xf>
    <xf numFmtId="0" fontId="13" fillId="0" borderId="45" xfId="50" applyFont="1" applyBorder="1" applyAlignment="1">
      <alignment horizontal="center" vertical="center" wrapText="1"/>
      <protection/>
    </xf>
    <xf numFmtId="0" fontId="12" fillId="0" borderId="46" xfId="50" applyFont="1" applyBorder="1">
      <alignment/>
      <protection/>
    </xf>
    <xf numFmtId="0" fontId="13" fillId="0" borderId="47" xfId="50" applyFont="1" applyBorder="1" applyAlignment="1">
      <alignment horizontal="center"/>
      <protection/>
    </xf>
    <xf numFmtId="0" fontId="13" fillId="0" borderId="48" xfId="50" applyFont="1" applyBorder="1" applyAlignment="1">
      <alignment horizontal="center"/>
      <protection/>
    </xf>
    <xf numFmtId="0" fontId="13" fillId="0" borderId="45" xfId="50" applyFont="1" applyBorder="1" applyAlignment="1">
      <alignment horizontal="center"/>
      <protection/>
    </xf>
    <xf numFmtId="0" fontId="13" fillId="0" borderId="28" xfId="50" applyFont="1" applyFill="1" applyBorder="1">
      <alignment/>
      <protection/>
    </xf>
    <xf numFmtId="0" fontId="13" fillId="0" borderId="28" xfId="50" applyFont="1" applyBorder="1">
      <alignment/>
      <protection/>
    </xf>
    <xf numFmtId="0" fontId="13" fillId="0" borderId="28" xfId="50" applyFont="1" applyBorder="1">
      <alignment/>
      <protection/>
    </xf>
    <xf numFmtId="0" fontId="32" fillId="0" borderId="28" xfId="0" applyFont="1" applyBorder="1" applyAlignment="1">
      <alignment/>
    </xf>
    <xf numFmtId="0" fontId="32" fillId="0" borderId="32" xfId="0" applyFont="1" applyBorder="1" applyAlignment="1">
      <alignment/>
    </xf>
    <xf numFmtId="0" fontId="5" fillId="0" borderId="22" xfId="47" applyFont="1" applyBorder="1" applyAlignment="1">
      <alignment horizontal="center" vertical="center" wrapText="1"/>
      <protection/>
    </xf>
    <xf numFmtId="0" fontId="5" fillId="0" borderId="61" xfId="47" applyFont="1" applyBorder="1" applyAlignment="1">
      <alignment horizontal="center" vertical="center" wrapText="1"/>
      <protection/>
    </xf>
    <xf numFmtId="4" fontId="2" fillId="0" borderId="18" xfId="47" applyNumberFormat="1" applyFill="1" applyBorder="1">
      <alignment/>
      <protection/>
    </xf>
    <xf numFmtId="1" fontId="0" fillId="0" borderId="0" xfId="0" applyNumberFormat="1" applyFill="1" applyAlignment="1">
      <alignment/>
    </xf>
    <xf numFmtId="0" fontId="2" fillId="0" borderId="28" xfId="50" applyFont="1" applyFill="1" applyBorder="1">
      <alignment/>
      <protection/>
    </xf>
    <xf numFmtId="3" fontId="0" fillId="0" borderId="29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4" fontId="5" fillId="0" borderId="10" xfId="47" applyNumberFormat="1" applyFont="1" applyFill="1" applyBorder="1">
      <alignment/>
      <protection/>
    </xf>
    <xf numFmtId="0" fontId="2" fillId="0" borderId="0" xfId="47" applyFill="1">
      <alignment/>
      <protection/>
    </xf>
    <xf numFmtId="0" fontId="5" fillId="0" borderId="12" xfId="47" applyFont="1" applyFill="1" applyBorder="1" applyAlignment="1">
      <alignment horizontal="center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3" fontId="13" fillId="17" borderId="16" xfId="50" applyNumberFormat="1" applyFont="1" applyFill="1" applyBorder="1">
      <alignment/>
      <protection/>
    </xf>
    <xf numFmtId="3" fontId="12" fillId="17" borderId="15" xfId="50" applyNumberFormat="1" applyFont="1" applyFill="1" applyBorder="1">
      <alignment/>
      <protection/>
    </xf>
    <xf numFmtId="3" fontId="12" fillId="17" borderId="18" xfId="50" applyNumberFormat="1" applyFont="1" applyFill="1" applyBorder="1">
      <alignment/>
      <protection/>
    </xf>
    <xf numFmtId="173" fontId="13" fillId="17" borderId="19" xfId="50" applyNumberFormat="1" applyFont="1" applyFill="1" applyBorder="1">
      <alignment/>
      <protection/>
    </xf>
    <xf numFmtId="0" fontId="4" fillId="0" borderId="0" xfId="0" applyFont="1" applyAlignment="1">
      <alignment/>
    </xf>
    <xf numFmtId="0" fontId="0" fillId="17" borderId="43" xfId="0" applyFill="1" applyBorder="1" applyAlignment="1">
      <alignment horizontal="center" vertical="top" wrapText="1"/>
    </xf>
    <xf numFmtId="3" fontId="0" fillId="24" borderId="65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6" fillId="10" borderId="59" xfId="0" applyNumberFormat="1" applyFont="1" applyFill="1" applyBorder="1" applyAlignment="1">
      <alignment/>
    </xf>
    <xf numFmtId="3" fontId="6" fillId="10" borderId="45" xfId="0" applyNumberFormat="1" applyFont="1" applyFill="1" applyBorder="1" applyAlignment="1">
      <alignment/>
    </xf>
    <xf numFmtId="3" fontId="6" fillId="10" borderId="44" xfId="0" applyNumberFormat="1" applyFont="1" applyFill="1" applyBorder="1" applyAlignment="1">
      <alignment/>
    </xf>
    <xf numFmtId="3" fontId="0" fillId="25" borderId="36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wrapText="1"/>
    </xf>
    <xf numFmtId="0" fontId="6" fillId="0" borderId="45" xfId="0" applyFont="1" applyFill="1" applyBorder="1" applyAlignment="1">
      <alignment/>
    </xf>
    <xf numFmtId="176" fontId="0" fillId="0" borderId="44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12" fillId="0" borderId="30" xfId="50" applyNumberFormat="1" applyFont="1" applyFill="1" applyBorder="1">
      <alignment/>
      <protection/>
    </xf>
    <xf numFmtId="3" fontId="12" fillId="0" borderId="31" xfId="50" applyNumberFormat="1" applyFont="1" applyFill="1" applyBorder="1">
      <alignment/>
      <protection/>
    </xf>
    <xf numFmtId="1" fontId="2" fillId="0" borderId="31" xfId="50" applyNumberFormat="1" applyFont="1" applyFill="1" applyBorder="1">
      <alignment/>
      <protection/>
    </xf>
    <xf numFmtId="0" fontId="4" fillId="0" borderId="0" xfId="49" applyFont="1" applyFill="1">
      <alignment/>
      <protection/>
    </xf>
    <xf numFmtId="0" fontId="5" fillId="0" borderId="0" xfId="50" applyFont="1" applyFill="1" applyAlignment="1">
      <alignment horizontal="right"/>
      <protection/>
    </xf>
    <xf numFmtId="0" fontId="2" fillId="0" borderId="0" xfId="47" applyFont="1" applyFill="1">
      <alignment/>
      <protection/>
    </xf>
    <xf numFmtId="0" fontId="2" fillId="0" borderId="21" xfId="47" applyFill="1" applyBorder="1">
      <alignment/>
      <protection/>
    </xf>
    <xf numFmtId="0" fontId="5" fillId="0" borderId="11" xfId="47" applyFont="1" applyFill="1" applyBorder="1">
      <alignment/>
      <protection/>
    </xf>
    <xf numFmtId="0" fontId="2" fillId="0" borderId="22" xfId="47" applyFill="1" applyBorder="1">
      <alignment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/>
      <protection/>
    </xf>
    <xf numFmtId="3" fontId="2" fillId="0" borderId="15" xfId="47" applyNumberFormat="1" applyFill="1" applyBorder="1">
      <alignment/>
      <protection/>
    </xf>
    <xf numFmtId="4" fontId="2" fillId="0" borderId="16" xfId="47" applyNumberFormat="1" applyFill="1" applyBorder="1">
      <alignment/>
      <protection/>
    </xf>
    <xf numFmtId="4" fontId="2" fillId="0" borderId="19" xfId="47" applyNumberFormat="1" applyFill="1" applyBorder="1">
      <alignment/>
      <protection/>
    </xf>
    <xf numFmtId="4" fontId="5" fillId="0" borderId="21" xfId="47" applyNumberFormat="1" applyFont="1" applyFill="1" applyBorder="1">
      <alignment/>
      <protection/>
    </xf>
    <xf numFmtId="4" fontId="2" fillId="0" borderId="16" xfId="47" applyNumberFormat="1" applyFont="1" applyFill="1" applyBorder="1">
      <alignment/>
      <protection/>
    </xf>
    <xf numFmtId="3" fontId="5" fillId="0" borderId="14" xfId="47" applyNumberFormat="1" applyFont="1" applyFill="1" applyBorder="1">
      <alignment/>
      <protection/>
    </xf>
    <xf numFmtId="4" fontId="5" fillId="0" borderId="14" xfId="47" applyNumberFormat="1" applyFont="1" applyFill="1" applyBorder="1">
      <alignment/>
      <protection/>
    </xf>
    <xf numFmtId="4" fontId="5" fillId="0" borderId="28" xfId="47" applyNumberFormat="1" applyFont="1" applyFill="1" applyBorder="1">
      <alignment/>
      <protection/>
    </xf>
    <xf numFmtId="3" fontId="5" fillId="0" borderId="28" xfId="47" applyNumberFormat="1" applyFont="1" applyFill="1" applyBorder="1">
      <alignment/>
      <protection/>
    </xf>
    <xf numFmtId="0" fontId="5" fillId="19" borderId="12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7" borderId="66" xfId="0" applyFont="1" applyFill="1" applyBorder="1" applyAlignment="1">
      <alignment horizontal="left" vertical="center"/>
    </xf>
    <xf numFmtId="0" fontId="5" fillId="17" borderId="49" xfId="0" applyFont="1" applyFill="1" applyBorder="1" applyAlignment="1">
      <alignment horizontal="left" vertical="center"/>
    </xf>
    <xf numFmtId="0" fontId="5" fillId="17" borderId="49" xfId="0" applyFont="1" applyFill="1" applyBorder="1" applyAlignment="1">
      <alignment horizontal="center"/>
    </xf>
    <xf numFmtId="3" fontId="5" fillId="17" borderId="49" xfId="0" applyNumberFormat="1" applyFont="1" applyFill="1" applyBorder="1" applyAlignment="1">
      <alignment horizontal="right"/>
    </xf>
    <xf numFmtId="3" fontId="5" fillId="17" borderId="65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5" fillId="18" borderId="14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center"/>
    </xf>
    <xf numFmtId="3" fontId="5" fillId="18" borderId="15" xfId="0" applyNumberFormat="1" applyFont="1" applyFill="1" applyBorder="1" applyAlignment="1">
      <alignment horizontal="right"/>
    </xf>
    <xf numFmtId="3" fontId="5" fillId="18" borderId="16" xfId="0" applyNumberFormat="1" applyFont="1" applyFill="1" applyBorder="1" applyAlignment="1">
      <alignment horizontal="right"/>
    </xf>
    <xf numFmtId="0" fontId="2" fillId="0" borderId="67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2" fillId="0" borderId="69" xfId="0" applyFont="1" applyFill="1" applyBorder="1" applyAlignment="1">
      <alignment horizontal="left"/>
    </xf>
    <xf numFmtId="49" fontId="2" fillId="0" borderId="70" xfId="0" applyNumberFormat="1" applyFont="1" applyFill="1" applyBorder="1" applyAlignment="1">
      <alignment horizontal="center" vertical="center"/>
    </xf>
    <xf numFmtId="3" fontId="2" fillId="0" borderId="70" xfId="0" applyNumberFormat="1" applyFont="1" applyFill="1" applyBorder="1" applyAlignment="1">
      <alignment horizontal="right"/>
    </xf>
    <xf numFmtId="3" fontId="2" fillId="0" borderId="71" xfId="0" applyNumberFormat="1" applyFont="1" applyFill="1" applyBorder="1" applyAlignment="1">
      <alignment horizontal="right"/>
    </xf>
    <xf numFmtId="0" fontId="2" fillId="0" borderId="72" xfId="0" applyFont="1" applyFill="1" applyBorder="1" applyAlignment="1">
      <alignment horizontal="left"/>
    </xf>
    <xf numFmtId="3" fontId="2" fillId="0" borderId="36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0" fontId="5" fillId="18" borderId="14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left"/>
    </xf>
    <xf numFmtId="0" fontId="5" fillId="18" borderId="14" xfId="0" applyFont="1" applyFill="1" applyBorder="1" applyAlignment="1">
      <alignment horizontal="center" vertical="top"/>
    </xf>
    <xf numFmtId="0" fontId="5" fillId="18" borderId="15" xfId="0" applyFont="1" applyFill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right"/>
    </xf>
    <xf numFmtId="0" fontId="2" fillId="0" borderId="73" xfId="0" applyFont="1" applyFill="1" applyBorder="1" applyAlignment="1">
      <alignment horizontal="left"/>
    </xf>
    <xf numFmtId="49" fontId="2" fillId="0" borderId="73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5" fillId="17" borderId="66" xfId="0" applyFont="1" applyFill="1" applyBorder="1" applyAlignment="1">
      <alignment/>
    </xf>
    <xf numFmtId="0" fontId="5" fillId="17" borderId="49" xfId="0" applyFont="1" applyFill="1" applyBorder="1" applyAlignment="1">
      <alignment horizontal="left"/>
    </xf>
    <xf numFmtId="3" fontId="5" fillId="17" borderId="49" xfId="0" applyNumberFormat="1" applyFont="1" applyFill="1" applyBorder="1" applyAlignment="1">
      <alignment horizontal="right"/>
    </xf>
    <xf numFmtId="3" fontId="5" fillId="17" borderId="65" xfId="0" applyNumberFormat="1" applyFont="1" applyFill="1" applyBorder="1" applyAlignment="1">
      <alignment horizontal="right"/>
    </xf>
    <xf numFmtId="3" fontId="5" fillId="18" borderId="15" xfId="0" applyNumberFormat="1" applyFont="1" applyFill="1" applyBorder="1" applyAlignment="1">
      <alignment horizontal="right"/>
    </xf>
    <xf numFmtId="3" fontId="5" fillId="18" borderId="16" xfId="0" applyNumberFormat="1" applyFont="1" applyFill="1" applyBorder="1" applyAlignment="1">
      <alignment horizontal="right"/>
    </xf>
    <xf numFmtId="0" fontId="2" fillId="0" borderId="67" xfId="0" applyFont="1" applyFill="1" applyBorder="1" applyAlignment="1">
      <alignment horizontal="right"/>
    </xf>
    <xf numFmtId="0" fontId="0" fillId="24" borderId="74" xfId="0" applyFill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0" fillId="24" borderId="69" xfId="0" applyFill="1" applyBorder="1" applyAlignment="1">
      <alignment horizontal="left"/>
    </xf>
    <xf numFmtId="3" fontId="2" fillId="0" borderId="71" xfId="0" applyNumberFormat="1" applyFont="1" applyBorder="1" applyAlignment="1">
      <alignment horizontal="right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24" borderId="69" xfId="0" applyNumberFormat="1" applyFont="1" applyFill="1" applyBorder="1" applyAlignment="1">
      <alignment horizontal="center" vertical="center"/>
    </xf>
    <xf numFmtId="0" fontId="0" fillId="24" borderId="75" xfId="0" applyFill="1" applyBorder="1" applyAlignment="1">
      <alignment horizontal="left"/>
    </xf>
    <xf numFmtId="49" fontId="2" fillId="0" borderId="72" xfId="0" applyNumberFormat="1" applyFont="1" applyFill="1" applyBorder="1" applyAlignment="1">
      <alignment horizontal="center" vertical="center"/>
    </xf>
    <xf numFmtId="3" fontId="5" fillId="18" borderId="26" xfId="0" applyNumberFormat="1" applyFont="1" applyFill="1" applyBorder="1" applyAlignment="1">
      <alignment horizontal="right"/>
    </xf>
    <xf numFmtId="0" fontId="0" fillId="0" borderId="76" xfId="0" applyFill="1" applyBorder="1" applyAlignment="1">
      <alignment horizontal="left"/>
    </xf>
    <xf numFmtId="0" fontId="2" fillId="0" borderId="25" xfId="0" applyFont="1" applyFill="1" applyBorder="1" applyAlignment="1">
      <alignment horizontal="right"/>
    </xf>
    <xf numFmtId="0" fontId="0" fillId="0" borderId="70" xfId="0" applyFill="1" applyBorder="1" applyAlignment="1">
      <alignment horizontal="left"/>
    </xf>
    <xf numFmtId="49" fontId="2" fillId="0" borderId="34" xfId="0" applyNumberFormat="1" applyFont="1" applyFill="1" applyBorder="1" applyAlignment="1">
      <alignment horizontal="center" vertical="center"/>
    </xf>
    <xf numFmtId="0" fontId="5" fillId="18" borderId="66" xfId="0" applyFont="1" applyFill="1" applyBorder="1" applyAlignment="1">
      <alignment horizontal="center"/>
    </xf>
    <xf numFmtId="0" fontId="5" fillId="18" borderId="49" xfId="0" applyFont="1" applyFill="1" applyBorder="1" applyAlignment="1">
      <alignment horizontal="left"/>
    </xf>
    <xf numFmtId="0" fontId="34" fillId="18" borderId="50" xfId="0" applyFont="1" applyFill="1" applyBorder="1" applyAlignment="1">
      <alignment horizontal="center"/>
    </xf>
    <xf numFmtId="3" fontId="2" fillId="18" borderId="50" xfId="0" applyNumberFormat="1" applyFont="1" applyFill="1" applyBorder="1" applyAlignment="1">
      <alignment horizontal="right"/>
    </xf>
    <xf numFmtId="3" fontId="2" fillId="18" borderId="64" xfId="0" applyNumberFormat="1" applyFont="1" applyFill="1" applyBorder="1" applyAlignment="1">
      <alignment horizontal="right"/>
    </xf>
    <xf numFmtId="0" fontId="5" fillId="18" borderId="14" xfId="0" applyFont="1" applyFill="1" applyBorder="1" applyAlignment="1">
      <alignment horizontal="right"/>
    </xf>
    <xf numFmtId="0" fontId="5" fillId="18" borderId="15" xfId="0" applyFont="1" applyFill="1" applyBorder="1" applyAlignment="1">
      <alignment horizontal="left"/>
    </xf>
    <xf numFmtId="49" fontId="2" fillId="18" borderId="15" xfId="0" applyNumberFormat="1" applyFont="1" applyFill="1" applyBorder="1" applyAlignment="1">
      <alignment horizontal="center" vertical="center"/>
    </xf>
    <xf numFmtId="3" fontId="5" fillId="18" borderId="36" xfId="0" applyNumberFormat="1" applyFont="1" applyFill="1" applyBorder="1" applyAlignment="1">
      <alignment horizontal="right"/>
    </xf>
    <xf numFmtId="3" fontId="5" fillId="18" borderId="41" xfId="0" applyNumberFormat="1" applyFont="1" applyFill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0" fontId="5" fillId="17" borderId="37" xfId="0" applyFont="1" applyFill="1" applyBorder="1" applyAlignment="1">
      <alignment horizontal="right"/>
    </xf>
    <xf numFmtId="0" fontId="5" fillId="17" borderId="38" xfId="0" applyFont="1" applyFill="1" applyBorder="1" applyAlignment="1">
      <alignment horizontal="left"/>
    </xf>
    <xf numFmtId="49" fontId="2" fillId="17" borderId="38" xfId="0" applyNumberFormat="1" applyFont="1" applyFill="1" applyBorder="1" applyAlignment="1">
      <alignment horizontal="center" vertical="center"/>
    </xf>
    <xf numFmtId="3" fontId="5" fillId="17" borderId="38" xfId="0" applyNumberFormat="1" applyFont="1" applyFill="1" applyBorder="1" applyAlignment="1">
      <alignment horizontal="right"/>
    </xf>
    <xf numFmtId="3" fontId="5" fillId="17" borderId="39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3" fontId="2" fillId="18" borderId="77" xfId="0" applyNumberFormat="1" applyFont="1" applyFill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0" fontId="0" fillId="25" borderId="14" xfId="0" applyFill="1" applyBorder="1" applyAlignment="1">
      <alignment horizontal="left"/>
    </xf>
    <xf numFmtId="0" fontId="0" fillId="25" borderId="16" xfId="0" applyFill="1" applyBorder="1" applyAlignment="1">
      <alignment wrapText="1"/>
    </xf>
    <xf numFmtId="0" fontId="0" fillId="0" borderId="66" xfId="0" applyBorder="1" applyAlignment="1">
      <alignment horizontal="left" vertical="top" wrapText="1"/>
    </xf>
    <xf numFmtId="0" fontId="0" fillId="0" borderId="65" xfId="0" applyBorder="1" applyAlignment="1">
      <alignment vertical="top" wrapText="1"/>
    </xf>
    <xf numFmtId="176" fontId="0" fillId="0" borderId="50" xfId="0" applyNumberFormat="1" applyBorder="1" applyAlignment="1">
      <alignment horizontal="right" vertical="top" wrapText="1"/>
    </xf>
    <xf numFmtId="176" fontId="0" fillId="0" borderId="51" xfId="0" applyNumberFormat="1" applyFill="1" applyBorder="1" applyAlignment="1">
      <alignment horizontal="right" vertical="top" wrapText="1"/>
    </xf>
    <xf numFmtId="176" fontId="0" fillId="0" borderId="52" xfId="0" applyNumberFormat="1" applyFill="1" applyBorder="1" applyAlignment="1">
      <alignment horizontal="right" vertical="top" wrapText="1"/>
    </xf>
    <xf numFmtId="176" fontId="0" fillId="0" borderId="49" xfId="0" applyNumberFormat="1" applyFill="1" applyBorder="1" applyAlignment="1">
      <alignment horizontal="right" vertical="top" wrapText="1"/>
    </xf>
    <xf numFmtId="0" fontId="0" fillId="24" borderId="50" xfId="0" applyFill="1" applyBorder="1" applyAlignment="1">
      <alignment horizontal="right" vertical="top" wrapText="1"/>
    </xf>
    <xf numFmtId="0" fontId="0" fillId="24" borderId="51" xfId="0" applyFill="1" applyBorder="1" applyAlignment="1">
      <alignment horizontal="right" vertical="top" wrapText="1"/>
    </xf>
    <xf numFmtId="173" fontId="0" fillId="0" borderId="64" xfId="0" applyNumberFormat="1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176" fontId="0" fillId="0" borderId="26" xfId="0" applyNumberFormat="1" applyBorder="1" applyAlignment="1">
      <alignment horizontal="right" vertical="top" wrapText="1"/>
    </xf>
    <xf numFmtId="176" fontId="0" fillId="0" borderId="28" xfId="0" applyNumberFormat="1" applyFill="1" applyBorder="1" applyAlignment="1">
      <alignment horizontal="right" vertical="top" wrapText="1"/>
    </xf>
    <xf numFmtId="176" fontId="0" fillId="0" borderId="29" xfId="0" applyNumberFormat="1" applyFill="1" applyBorder="1" applyAlignment="1">
      <alignment horizontal="right" vertical="top" wrapText="1"/>
    </xf>
    <xf numFmtId="176" fontId="0" fillId="0" borderId="15" xfId="0" applyNumberFormat="1" applyFill="1" applyBorder="1" applyAlignment="1">
      <alignment horizontal="right" vertical="top" wrapText="1"/>
    </xf>
    <xf numFmtId="0" fontId="0" fillId="24" borderId="26" xfId="0" applyFill="1" applyBorder="1" applyAlignment="1">
      <alignment horizontal="right" vertical="top" wrapText="1"/>
    </xf>
    <xf numFmtId="0" fontId="0" fillId="24" borderId="28" xfId="0" applyFill="1" applyBorder="1" applyAlignment="1">
      <alignment horizontal="right" vertical="top" wrapText="1"/>
    </xf>
    <xf numFmtId="173" fontId="0" fillId="0" borderId="62" xfId="0" applyNumberFormat="1" applyBorder="1" applyAlignment="1">
      <alignment horizontal="righ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vertical="top" wrapText="1"/>
    </xf>
    <xf numFmtId="176" fontId="0" fillId="4" borderId="26" xfId="0" applyNumberFormat="1" applyFill="1" applyBorder="1" applyAlignment="1">
      <alignment horizontal="right" vertical="top" wrapText="1"/>
    </xf>
    <xf numFmtId="176" fontId="0" fillId="4" borderId="28" xfId="0" applyNumberFormat="1" applyFill="1" applyBorder="1" applyAlignment="1">
      <alignment horizontal="right" vertical="top" wrapText="1"/>
    </xf>
    <xf numFmtId="176" fontId="0" fillId="4" borderId="29" xfId="0" applyNumberFormat="1" applyFill="1" applyBorder="1" applyAlignment="1">
      <alignment horizontal="right" vertical="top" wrapText="1"/>
    </xf>
    <xf numFmtId="176" fontId="0" fillId="4" borderId="15" xfId="0" applyNumberFormat="1" applyFill="1" applyBorder="1" applyAlignment="1">
      <alignment horizontal="right" vertical="top" wrapText="1"/>
    </xf>
    <xf numFmtId="0" fontId="0" fillId="4" borderId="26" xfId="0" applyFill="1" applyBorder="1" applyAlignment="1">
      <alignment horizontal="right" vertical="top" wrapText="1"/>
    </xf>
    <xf numFmtId="0" fontId="0" fillId="4" borderId="28" xfId="0" applyFill="1" applyBorder="1" applyAlignment="1">
      <alignment horizontal="right" vertical="top" wrapText="1"/>
    </xf>
    <xf numFmtId="173" fontId="0" fillId="4" borderId="62" xfId="0" applyNumberFormat="1" applyFill="1" applyBorder="1" applyAlignment="1">
      <alignment horizontal="right" vertical="top" wrapText="1"/>
    </xf>
    <xf numFmtId="0" fontId="6" fillId="25" borderId="53" xfId="0" applyFont="1" applyFill="1" applyBorder="1" applyAlignment="1">
      <alignment horizontal="left"/>
    </xf>
    <xf numFmtId="0" fontId="0" fillId="25" borderId="54" xfId="0" applyFont="1" applyFill="1" applyBorder="1" applyAlignment="1">
      <alignment/>
    </xf>
    <xf numFmtId="176" fontId="0" fillId="25" borderId="53" xfId="0" applyNumberFormat="1" applyFont="1" applyFill="1" applyBorder="1" applyAlignment="1">
      <alignment/>
    </xf>
    <xf numFmtId="176" fontId="0" fillId="25" borderId="73" xfId="0" applyNumberFormat="1" applyFont="1" applyFill="1" applyBorder="1" applyAlignment="1">
      <alignment/>
    </xf>
    <xf numFmtId="176" fontId="0" fillId="25" borderId="23" xfId="0" applyNumberFormat="1" applyFont="1" applyFill="1" applyBorder="1" applyAlignment="1">
      <alignment/>
    </xf>
    <xf numFmtId="3" fontId="0" fillId="25" borderId="78" xfId="0" applyNumberFormat="1" applyFont="1" applyFill="1" applyBorder="1" applyAlignment="1">
      <alignment/>
    </xf>
    <xf numFmtId="173" fontId="0" fillId="25" borderId="54" xfId="0" applyNumberFormat="1" applyFont="1" applyFill="1" applyBorder="1" applyAlignment="1">
      <alignment/>
    </xf>
    <xf numFmtId="176" fontId="0" fillId="0" borderId="26" xfId="0" applyNumberFormat="1" applyBorder="1" applyAlignment="1">
      <alignment vertical="top" wrapText="1"/>
    </xf>
    <xf numFmtId="176" fontId="0" fillId="0" borderId="28" xfId="0" applyNumberFormat="1" applyFill="1" applyBorder="1" applyAlignment="1">
      <alignment vertical="top" wrapText="1"/>
    </xf>
    <xf numFmtId="176" fontId="0" fillId="0" borderId="29" xfId="0" applyNumberFormat="1" applyFill="1" applyBorder="1" applyAlignment="1">
      <alignment vertical="top" wrapText="1"/>
    </xf>
    <xf numFmtId="176" fontId="0" fillId="0" borderId="15" xfId="0" applyNumberFormat="1" applyFill="1" applyBorder="1" applyAlignment="1">
      <alignment vertical="top" wrapText="1"/>
    </xf>
    <xf numFmtId="173" fontId="0" fillId="24" borderId="26" xfId="0" applyNumberFormat="1" applyFill="1" applyBorder="1" applyAlignment="1">
      <alignment vertical="top" wrapText="1"/>
    </xf>
    <xf numFmtId="0" fontId="0" fillId="24" borderId="28" xfId="0" applyFill="1" applyBorder="1" applyAlignment="1">
      <alignment vertical="top" wrapText="1"/>
    </xf>
    <xf numFmtId="173" fontId="0" fillId="0" borderId="62" xfId="0" applyNumberFormat="1" applyBorder="1" applyAlignment="1">
      <alignment vertical="top" wrapText="1"/>
    </xf>
    <xf numFmtId="176" fontId="0" fillId="4" borderId="26" xfId="0" applyNumberFormat="1" applyFill="1" applyBorder="1" applyAlignment="1">
      <alignment vertical="top" wrapText="1"/>
    </xf>
    <xf numFmtId="176" fontId="0" fillId="4" borderId="28" xfId="0" applyNumberFormat="1" applyFill="1" applyBorder="1" applyAlignment="1">
      <alignment vertical="top" wrapText="1"/>
    </xf>
    <xf numFmtId="176" fontId="0" fillId="4" borderId="29" xfId="0" applyNumberFormat="1" applyFill="1" applyBorder="1" applyAlignment="1">
      <alignment vertical="top" wrapText="1"/>
    </xf>
    <xf numFmtId="176" fontId="0" fillId="4" borderId="15" xfId="0" applyNumberFormat="1" applyFill="1" applyBorder="1" applyAlignment="1">
      <alignment vertical="top" wrapText="1"/>
    </xf>
    <xf numFmtId="0" fontId="0" fillId="4" borderId="26" xfId="0" applyFill="1" applyBorder="1" applyAlignment="1">
      <alignment vertical="top" wrapText="1"/>
    </xf>
    <xf numFmtId="0" fontId="0" fillId="4" borderId="28" xfId="0" applyFill="1" applyBorder="1" applyAlignment="1">
      <alignment vertical="top" wrapText="1"/>
    </xf>
    <xf numFmtId="173" fontId="0" fillId="4" borderId="62" xfId="0" applyNumberFormat="1" applyFill="1" applyBorder="1" applyAlignment="1">
      <alignment vertical="top" wrapText="1"/>
    </xf>
    <xf numFmtId="0" fontId="6" fillId="25" borderId="59" xfId="0" applyFont="1" applyFill="1" applyBorder="1" applyAlignment="1">
      <alignment horizontal="left"/>
    </xf>
    <xf numFmtId="0" fontId="0" fillId="25" borderId="45" xfId="0" applyFont="1" applyFill="1" applyBorder="1" applyAlignment="1">
      <alignment/>
    </xf>
    <xf numFmtId="176" fontId="0" fillId="25" borderId="60" xfId="0" applyNumberFormat="1" applyFont="1" applyFill="1" applyBorder="1" applyAlignment="1">
      <alignment/>
    </xf>
    <xf numFmtId="176" fontId="0" fillId="25" borderId="10" xfId="0" applyNumberFormat="1" applyFont="1" applyFill="1" applyBorder="1" applyAlignment="1">
      <alignment/>
    </xf>
    <xf numFmtId="176" fontId="0" fillId="25" borderId="61" xfId="0" applyNumberFormat="1" applyFont="1" applyFill="1" applyBorder="1" applyAlignment="1">
      <alignment/>
    </xf>
    <xf numFmtId="176" fontId="0" fillId="25" borderId="44" xfId="0" applyNumberFormat="1" applyFont="1" applyFill="1" applyBorder="1" applyAlignment="1">
      <alignment/>
    </xf>
    <xf numFmtId="3" fontId="0" fillId="25" borderId="44" xfId="0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173" fontId="0" fillId="25" borderId="10" xfId="0" applyNumberFormat="1" applyFont="1" applyFill="1" applyBorder="1" applyAlignment="1">
      <alignment/>
    </xf>
    <xf numFmtId="0" fontId="0" fillId="24" borderId="26" xfId="0" applyFill="1" applyBorder="1" applyAlignment="1">
      <alignment vertical="top" wrapText="1"/>
    </xf>
    <xf numFmtId="3" fontId="0" fillId="25" borderId="60" xfId="0" applyNumberFormat="1" applyFont="1" applyFill="1" applyBorder="1" applyAlignment="1">
      <alignment/>
    </xf>
    <xf numFmtId="173" fontId="0" fillId="0" borderId="45" xfId="0" applyNumberFormat="1" applyFont="1" applyFill="1" applyBorder="1" applyAlignment="1">
      <alignment/>
    </xf>
    <xf numFmtId="0" fontId="0" fillId="0" borderId="50" xfId="0" applyBorder="1" applyAlignment="1">
      <alignment horizontal="center" textRotation="90" wrapText="1"/>
    </xf>
    <xf numFmtId="0" fontId="0" fillId="0" borderId="51" xfId="0" applyBorder="1" applyAlignment="1">
      <alignment horizontal="center" textRotation="90" wrapText="1"/>
    </xf>
    <xf numFmtId="0" fontId="0" fillId="0" borderId="52" xfId="0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176" fontId="0" fillId="0" borderId="52" xfId="0" applyNumberFormat="1" applyBorder="1" applyAlignment="1">
      <alignment horizontal="right" vertical="top" wrapText="1"/>
    </xf>
    <xf numFmtId="176" fontId="0" fillId="0" borderId="29" xfId="0" applyNumberFormat="1" applyBorder="1" applyAlignment="1">
      <alignment horizontal="right" vertical="top" wrapText="1"/>
    </xf>
    <xf numFmtId="176" fontId="0" fillId="0" borderId="29" xfId="0" applyNumberFormat="1" applyBorder="1" applyAlignment="1">
      <alignment vertical="top" wrapText="1"/>
    </xf>
    <xf numFmtId="176" fontId="0" fillId="25" borderId="59" xfId="0" applyNumberFormat="1" applyFont="1" applyFill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176" fontId="0" fillId="0" borderId="35" xfId="0" applyNumberFormat="1" applyBorder="1" applyAlignment="1">
      <alignment horizontal="right" vertical="top" wrapText="1"/>
    </xf>
    <xf numFmtId="176" fontId="0" fillId="0" borderId="27" xfId="0" applyNumberFormat="1" applyBorder="1" applyAlignment="1">
      <alignment horizontal="right" vertical="top" wrapText="1"/>
    </xf>
    <xf numFmtId="176" fontId="0" fillId="0" borderId="32" xfId="0" applyNumberFormat="1" applyFill="1" applyBorder="1" applyAlignment="1">
      <alignment horizontal="right" vertical="top" wrapText="1"/>
    </xf>
    <xf numFmtId="176" fontId="0" fillId="0" borderId="35" xfId="0" applyNumberFormat="1" applyFill="1" applyBorder="1" applyAlignment="1">
      <alignment horizontal="right" vertical="top" wrapText="1"/>
    </xf>
    <xf numFmtId="176" fontId="0" fillId="0" borderId="18" xfId="0" applyNumberFormat="1" applyFill="1" applyBorder="1" applyAlignment="1">
      <alignment horizontal="right" vertical="top" wrapText="1"/>
    </xf>
    <xf numFmtId="0" fontId="0" fillId="24" borderId="27" xfId="0" applyFill="1" applyBorder="1" applyAlignment="1">
      <alignment horizontal="right" vertical="top" wrapText="1"/>
    </xf>
    <xf numFmtId="0" fontId="0" fillId="24" borderId="32" xfId="0" applyFill="1" applyBorder="1" applyAlignment="1">
      <alignment horizontal="right" vertical="top" wrapText="1"/>
    </xf>
    <xf numFmtId="173" fontId="0" fillId="0" borderId="79" xfId="0" applyNumberFormat="1" applyBorder="1" applyAlignment="1">
      <alignment horizontal="righ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45" xfId="0" applyFont="1" applyBorder="1" applyAlignment="1">
      <alignment vertical="top" wrapText="1"/>
    </xf>
    <xf numFmtId="176" fontId="6" fillId="0" borderId="61" xfId="0" applyNumberFormat="1" applyFont="1" applyBorder="1" applyAlignment="1">
      <alignment horizontal="right" vertical="top" wrapText="1"/>
    </xf>
    <xf numFmtId="176" fontId="6" fillId="0" borderId="60" xfId="0" applyNumberFormat="1" applyFont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6" fillId="0" borderId="61" xfId="0" applyNumberFormat="1" applyFont="1" applyFill="1" applyBorder="1" applyAlignment="1">
      <alignment horizontal="right" vertical="top" wrapText="1"/>
    </xf>
    <xf numFmtId="176" fontId="6" fillId="0" borderId="44" xfId="0" applyNumberFormat="1" applyFont="1" applyFill="1" applyBorder="1" applyAlignment="1">
      <alignment horizontal="right" vertical="top" wrapText="1"/>
    </xf>
    <xf numFmtId="0" fontId="6" fillId="24" borderId="60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right" vertical="top" wrapText="1"/>
    </xf>
    <xf numFmtId="173" fontId="6" fillId="0" borderId="22" xfId="0" applyNumberFormat="1" applyFont="1" applyBorder="1" applyAlignment="1">
      <alignment horizontal="right" vertical="top" wrapText="1"/>
    </xf>
    <xf numFmtId="0" fontId="0" fillId="4" borderId="42" xfId="0" applyFill="1" applyBorder="1" applyAlignment="1">
      <alignment horizontal="left" vertical="top" wrapText="1"/>
    </xf>
    <xf numFmtId="0" fontId="0" fillId="4" borderId="41" xfId="0" applyFill="1" applyBorder="1" applyAlignment="1">
      <alignment vertical="top" wrapText="1"/>
    </xf>
    <xf numFmtId="176" fontId="0" fillId="4" borderId="58" xfId="0" applyNumberFormat="1" applyFill="1" applyBorder="1" applyAlignment="1">
      <alignment horizontal="right" vertical="top" wrapText="1"/>
    </xf>
    <xf numFmtId="176" fontId="0" fillId="4" borderId="56" xfId="0" applyNumberFormat="1" applyFill="1" applyBorder="1" applyAlignment="1">
      <alignment horizontal="right" vertical="top" wrapText="1"/>
    </xf>
    <xf numFmtId="176" fontId="0" fillId="4" borderId="57" xfId="0" applyNumberFormat="1" applyFill="1" applyBorder="1" applyAlignment="1">
      <alignment horizontal="right" vertical="top" wrapText="1"/>
    </xf>
    <xf numFmtId="176" fontId="0" fillId="4" borderId="36" xfId="0" applyNumberFormat="1" applyFill="1" applyBorder="1" applyAlignment="1">
      <alignment horizontal="right" vertical="top" wrapText="1"/>
    </xf>
    <xf numFmtId="0" fontId="0" fillId="4" borderId="56" xfId="0" applyFill="1" applyBorder="1" applyAlignment="1">
      <alignment horizontal="right" vertical="top" wrapText="1"/>
    </xf>
    <xf numFmtId="0" fontId="0" fillId="4" borderId="57" xfId="0" applyFill="1" applyBorder="1" applyAlignment="1">
      <alignment horizontal="right" vertical="top" wrapText="1"/>
    </xf>
    <xf numFmtId="173" fontId="0" fillId="4" borderId="80" xfId="0" applyNumberFormat="1" applyFill="1" applyBorder="1" applyAlignment="1">
      <alignment horizontal="righ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9" xfId="0" applyFill="1" applyBorder="1" applyAlignment="1">
      <alignment vertical="top" wrapText="1"/>
    </xf>
    <xf numFmtId="176" fontId="0" fillId="4" borderId="35" xfId="0" applyNumberFormat="1" applyFill="1" applyBorder="1" applyAlignment="1">
      <alignment horizontal="right" vertical="top" wrapText="1"/>
    </xf>
    <xf numFmtId="176" fontId="0" fillId="4" borderId="27" xfId="0" applyNumberFormat="1" applyFill="1" applyBorder="1" applyAlignment="1">
      <alignment horizontal="right" vertical="top" wrapText="1"/>
    </xf>
    <xf numFmtId="176" fontId="0" fillId="4" borderId="32" xfId="0" applyNumberFormat="1" applyFill="1" applyBorder="1" applyAlignment="1">
      <alignment horizontal="right" vertical="top" wrapText="1"/>
    </xf>
    <xf numFmtId="176" fontId="0" fillId="4" borderId="18" xfId="0" applyNumberFormat="1" applyFill="1" applyBorder="1" applyAlignment="1">
      <alignment horizontal="right" vertical="top" wrapText="1"/>
    </xf>
    <xf numFmtId="0" fontId="0" fillId="4" borderId="27" xfId="0" applyFill="1" applyBorder="1" applyAlignment="1">
      <alignment horizontal="right" vertical="top" wrapText="1"/>
    </xf>
    <xf numFmtId="0" fontId="0" fillId="4" borderId="32" xfId="0" applyFill="1" applyBorder="1" applyAlignment="1">
      <alignment horizontal="right" vertical="top" wrapText="1"/>
    </xf>
    <xf numFmtId="173" fontId="0" fillId="4" borderId="79" xfId="0" applyNumberFormat="1" applyFill="1" applyBorder="1" applyAlignment="1">
      <alignment horizontal="right" vertical="top" wrapText="1"/>
    </xf>
    <xf numFmtId="0" fontId="6" fillId="4" borderId="59" xfId="0" applyFont="1" applyFill="1" applyBorder="1" applyAlignment="1">
      <alignment horizontal="left" vertical="top" wrapText="1"/>
    </xf>
    <xf numFmtId="0" fontId="6" fillId="4" borderId="45" xfId="0" applyFont="1" applyFill="1" applyBorder="1" applyAlignment="1">
      <alignment vertical="top" wrapText="1"/>
    </xf>
    <xf numFmtId="176" fontId="6" fillId="4" borderId="61" xfId="0" applyNumberFormat="1" applyFont="1" applyFill="1" applyBorder="1" applyAlignment="1">
      <alignment horizontal="right" vertical="top" wrapText="1"/>
    </xf>
    <xf numFmtId="176" fontId="6" fillId="4" borderId="60" xfId="0" applyNumberFormat="1" applyFont="1" applyFill="1" applyBorder="1" applyAlignment="1">
      <alignment horizontal="right" vertical="top" wrapText="1"/>
    </xf>
    <xf numFmtId="176" fontId="6" fillId="4" borderId="10" xfId="0" applyNumberFormat="1" applyFont="1" applyFill="1" applyBorder="1" applyAlignment="1">
      <alignment horizontal="right" vertical="top" wrapText="1"/>
    </xf>
    <xf numFmtId="176" fontId="6" fillId="4" borderId="44" xfId="0" applyNumberFormat="1" applyFont="1" applyFill="1" applyBorder="1" applyAlignment="1">
      <alignment horizontal="right" vertical="top" wrapText="1"/>
    </xf>
    <xf numFmtId="0" fontId="6" fillId="4" borderId="60" xfId="0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173" fontId="6" fillId="4" borderId="22" xfId="0" applyNumberFormat="1" applyFont="1" applyFill="1" applyBorder="1" applyAlignment="1">
      <alignment horizontal="right" vertical="top" wrapText="1"/>
    </xf>
    <xf numFmtId="3" fontId="0" fillId="25" borderId="23" xfId="0" applyNumberFormat="1" applyFont="1" applyFill="1" applyBorder="1" applyAlignment="1">
      <alignment/>
    </xf>
    <xf numFmtId="176" fontId="0" fillId="0" borderId="35" xfId="0" applyNumberFormat="1" applyBorder="1" applyAlignment="1">
      <alignment vertical="top" wrapText="1"/>
    </xf>
    <xf numFmtId="176" fontId="0" fillId="0" borderId="27" xfId="0" applyNumberFormat="1" applyBorder="1" applyAlignment="1">
      <alignment vertical="top" wrapText="1"/>
    </xf>
    <xf numFmtId="176" fontId="0" fillId="0" borderId="32" xfId="0" applyNumberFormat="1" applyFill="1" applyBorder="1" applyAlignment="1">
      <alignment vertical="top" wrapText="1"/>
    </xf>
    <xf numFmtId="176" fontId="0" fillId="0" borderId="35" xfId="0" applyNumberFormat="1" applyFill="1" applyBorder="1" applyAlignment="1">
      <alignment vertical="top" wrapText="1"/>
    </xf>
    <xf numFmtId="176" fontId="0" fillId="0" borderId="18" xfId="0" applyNumberFormat="1" applyFill="1" applyBorder="1" applyAlignment="1">
      <alignment vertical="top" wrapText="1"/>
    </xf>
    <xf numFmtId="173" fontId="0" fillId="24" borderId="27" xfId="0" applyNumberFormat="1" applyFill="1" applyBorder="1" applyAlignment="1">
      <alignment vertical="top" wrapText="1"/>
    </xf>
    <xf numFmtId="0" fontId="0" fillId="24" borderId="32" xfId="0" applyFill="1" applyBorder="1" applyAlignment="1">
      <alignment vertical="top" wrapText="1"/>
    </xf>
    <xf numFmtId="173" fontId="0" fillId="0" borderId="79" xfId="0" applyNumberFormat="1" applyBorder="1" applyAlignment="1">
      <alignment vertical="top" wrapText="1"/>
    </xf>
    <xf numFmtId="176" fontId="6" fillId="0" borderId="61" xfId="0" applyNumberFormat="1" applyFont="1" applyBorder="1" applyAlignment="1">
      <alignment vertical="top" wrapText="1"/>
    </xf>
    <xf numFmtId="176" fontId="6" fillId="0" borderId="60" xfId="0" applyNumberFormat="1" applyFont="1" applyBorder="1" applyAlignment="1">
      <alignment vertical="top" wrapText="1"/>
    </xf>
    <xf numFmtId="176" fontId="6" fillId="0" borderId="10" xfId="0" applyNumberFormat="1" applyFont="1" applyFill="1" applyBorder="1" applyAlignment="1">
      <alignment vertical="top" wrapText="1"/>
    </xf>
    <xf numFmtId="176" fontId="6" fillId="0" borderId="61" xfId="0" applyNumberFormat="1" applyFont="1" applyFill="1" applyBorder="1" applyAlignment="1">
      <alignment vertical="top" wrapText="1"/>
    </xf>
    <xf numFmtId="176" fontId="6" fillId="0" borderId="44" xfId="0" applyNumberFormat="1" applyFont="1" applyFill="1" applyBorder="1" applyAlignment="1">
      <alignment vertical="top" wrapText="1"/>
    </xf>
    <xf numFmtId="173" fontId="6" fillId="24" borderId="60" xfId="0" applyNumberFormat="1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173" fontId="6" fillId="0" borderId="22" xfId="0" applyNumberFormat="1" applyFont="1" applyBorder="1" applyAlignment="1">
      <alignment vertical="top" wrapText="1"/>
    </xf>
    <xf numFmtId="176" fontId="0" fillId="4" borderId="58" xfId="0" applyNumberFormat="1" applyFill="1" applyBorder="1" applyAlignment="1">
      <alignment vertical="top" wrapText="1"/>
    </xf>
    <xf numFmtId="176" fontId="0" fillId="4" borderId="56" xfId="0" applyNumberFormat="1" applyFill="1" applyBorder="1" applyAlignment="1">
      <alignment vertical="top" wrapText="1"/>
    </xf>
    <xf numFmtId="176" fontId="0" fillId="4" borderId="57" xfId="0" applyNumberFormat="1" applyFill="1" applyBorder="1" applyAlignment="1">
      <alignment vertical="top" wrapText="1"/>
    </xf>
    <xf numFmtId="176" fontId="0" fillId="4" borderId="36" xfId="0" applyNumberFormat="1" applyFill="1" applyBorder="1" applyAlignment="1">
      <alignment vertical="top" wrapText="1"/>
    </xf>
    <xf numFmtId="0" fontId="0" fillId="4" borderId="56" xfId="0" applyFill="1" applyBorder="1" applyAlignment="1">
      <alignment vertical="top" wrapText="1"/>
    </xf>
    <xf numFmtId="0" fontId="0" fillId="4" borderId="57" xfId="0" applyFill="1" applyBorder="1" applyAlignment="1">
      <alignment vertical="top" wrapText="1"/>
    </xf>
    <xf numFmtId="173" fontId="0" fillId="4" borderId="80" xfId="0" applyNumberFormat="1" applyFill="1" applyBorder="1" applyAlignment="1">
      <alignment vertical="top" wrapText="1"/>
    </xf>
    <xf numFmtId="176" fontId="0" fillId="4" borderId="35" xfId="0" applyNumberFormat="1" applyFill="1" applyBorder="1" applyAlignment="1">
      <alignment vertical="top" wrapText="1"/>
    </xf>
    <xf numFmtId="176" fontId="0" fillId="4" borderId="27" xfId="0" applyNumberFormat="1" applyFill="1" applyBorder="1" applyAlignment="1">
      <alignment vertical="top" wrapText="1"/>
    </xf>
    <xf numFmtId="176" fontId="0" fillId="4" borderId="32" xfId="0" applyNumberFormat="1" applyFill="1" applyBorder="1" applyAlignment="1">
      <alignment vertical="top" wrapText="1"/>
    </xf>
    <xf numFmtId="176" fontId="0" fillId="4" borderId="18" xfId="0" applyNumberFormat="1" applyFill="1" applyBorder="1" applyAlignment="1">
      <alignment vertical="top" wrapText="1"/>
    </xf>
    <xf numFmtId="0" fontId="0" fillId="4" borderId="27" xfId="0" applyFill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173" fontId="0" fillId="4" borderId="79" xfId="0" applyNumberFormat="1" applyFill="1" applyBorder="1" applyAlignment="1">
      <alignment vertical="top" wrapText="1"/>
    </xf>
    <xf numFmtId="176" fontId="6" fillId="4" borderId="61" xfId="0" applyNumberFormat="1" applyFont="1" applyFill="1" applyBorder="1" applyAlignment="1">
      <alignment vertical="top" wrapText="1"/>
    </xf>
    <xf numFmtId="176" fontId="6" fillId="4" borderId="60" xfId="0" applyNumberFormat="1" applyFont="1" applyFill="1" applyBorder="1" applyAlignment="1">
      <alignment vertical="top" wrapText="1"/>
    </xf>
    <xf numFmtId="176" fontId="6" fillId="4" borderId="10" xfId="0" applyNumberFormat="1" applyFont="1" applyFill="1" applyBorder="1" applyAlignment="1">
      <alignment vertical="top" wrapText="1"/>
    </xf>
    <xf numFmtId="176" fontId="6" fillId="4" borderId="44" xfId="0" applyNumberFormat="1" applyFont="1" applyFill="1" applyBorder="1" applyAlignment="1">
      <alignment vertical="top" wrapText="1"/>
    </xf>
    <xf numFmtId="0" fontId="6" fillId="4" borderId="60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173" fontId="6" fillId="4" borderId="22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17" fillId="0" borderId="15" xfId="0" applyNumberFormat="1" applyFont="1" applyBorder="1" applyAlignment="1">
      <alignment/>
    </xf>
    <xf numFmtId="0" fontId="17" fillId="25" borderId="15" xfId="0" applyFont="1" applyFill="1" applyBorder="1" applyAlignment="1">
      <alignment horizontal="center" vertical="center" wrapText="1"/>
    </xf>
    <xf numFmtId="0" fontId="0" fillId="25" borderId="15" xfId="0" applyFill="1" applyBorder="1" applyAlignment="1">
      <alignment/>
    </xf>
    <xf numFmtId="3" fontId="17" fillId="25" borderId="15" xfId="0" applyNumberFormat="1" applyFont="1" applyFill="1" applyBorder="1" applyAlignment="1">
      <alignment/>
    </xf>
    <xf numFmtId="1" fontId="0" fillId="25" borderId="15" xfId="0" applyNumberFormat="1" applyFill="1" applyBorder="1" applyAlignment="1">
      <alignment/>
    </xf>
    <xf numFmtId="3" fontId="1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76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/>
    </xf>
    <xf numFmtId="4" fontId="6" fillId="0" borderId="51" xfId="0" applyNumberFormat="1" applyFont="1" applyFill="1" applyBorder="1" applyAlignment="1">
      <alignment/>
    </xf>
    <xf numFmtId="0" fontId="0" fillId="0" borderId="66" xfId="0" applyFont="1" applyFill="1" applyBorder="1" applyAlignment="1">
      <alignment horizontal="left"/>
    </xf>
    <xf numFmtId="0" fontId="0" fillId="0" borderId="65" xfId="0" applyFont="1" applyFill="1" applyBorder="1" applyAlignment="1">
      <alignment wrapText="1"/>
    </xf>
    <xf numFmtId="0" fontId="0" fillId="0" borderId="67" xfId="0" applyFont="1" applyFill="1" applyBorder="1" applyAlignment="1">
      <alignment horizontal="left"/>
    </xf>
    <xf numFmtId="0" fontId="0" fillId="0" borderId="71" xfId="0" applyFont="1" applyFill="1" applyBorder="1" applyAlignment="1">
      <alignment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wrapText="1"/>
    </xf>
    <xf numFmtId="3" fontId="38" fillId="0" borderId="15" xfId="0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3" fontId="0" fillId="25" borderId="15" xfId="0" applyNumberFormat="1" applyFill="1" applyBorder="1" applyAlignment="1">
      <alignment/>
    </xf>
    <xf numFmtId="3" fontId="6" fillId="25" borderId="15" xfId="0" applyNumberFormat="1" applyFont="1" applyFill="1" applyBorder="1" applyAlignment="1">
      <alignment/>
    </xf>
    <xf numFmtId="0" fontId="17" fillId="4" borderId="15" xfId="0" applyFont="1" applyFill="1" applyBorder="1" applyAlignment="1">
      <alignment/>
    </xf>
    <xf numFmtId="176" fontId="0" fillId="0" borderId="0" xfId="0" applyNumberFormat="1" applyAlignment="1">
      <alignment/>
    </xf>
    <xf numFmtId="4" fontId="2" fillId="24" borderId="29" xfId="47" applyNumberFormat="1" applyFont="1" applyFill="1" applyBorder="1">
      <alignment/>
      <protection/>
    </xf>
    <xf numFmtId="3" fontId="5" fillId="18" borderId="81" xfId="0" applyNumberFormat="1" applyFont="1" applyFill="1" applyBorder="1" applyAlignment="1">
      <alignment horizontal="right"/>
    </xf>
    <xf numFmtId="3" fontId="2" fillId="0" borderId="73" xfId="0" applyNumberFormat="1" applyFont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41" xfId="47" applyNumberFormat="1" applyBorder="1">
      <alignment/>
      <protection/>
    </xf>
    <xf numFmtId="0" fontId="5" fillId="0" borderId="82" xfId="47" applyFont="1" applyBorder="1" applyAlignment="1">
      <alignment horizontal="center" vertical="center" wrapText="1"/>
      <protection/>
    </xf>
    <xf numFmtId="0" fontId="5" fillId="0" borderId="83" xfId="47" applyFont="1" applyBorder="1" applyAlignment="1">
      <alignment horizontal="center"/>
      <protection/>
    </xf>
    <xf numFmtId="4" fontId="2" fillId="0" borderId="41" xfId="47" applyNumberFormat="1" applyFont="1" applyBorder="1">
      <alignment/>
      <protection/>
    </xf>
    <xf numFmtId="0" fontId="5" fillId="0" borderId="84" xfId="47" applyFont="1" applyBorder="1">
      <alignment/>
      <protection/>
    </xf>
    <xf numFmtId="0" fontId="5" fillId="0" borderId="21" xfId="47" applyFont="1" applyBorder="1">
      <alignment/>
      <protection/>
    </xf>
    <xf numFmtId="0" fontId="6" fillId="0" borderId="22" xfId="0" applyFont="1" applyFill="1" applyBorder="1" applyAlignment="1">
      <alignment horizontal="center" wrapText="1"/>
    </xf>
    <xf numFmtId="4" fontId="2" fillId="0" borderId="80" xfId="47" applyNumberFormat="1" applyBorder="1">
      <alignment/>
      <protection/>
    </xf>
    <xf numFmtId="4" fontId="2" fillId="0" borderId="62" xfId="47" applyNumberFormat="1" applyBorder="1">
      <alignment/>
      <protection/>
    </xf>
    <xf numFmtId="0" fontId="5" fillId="0" borderId="59" xfId="47" applyFont="1" applyFill="1" applyBorder="1" applyAlignment="1">
      <alignment horizontal="center" vertical="center" wrapText="1"/>
      <protection/>
    </xf>
    <xf numFmtId="0" fontId="6" fillId="0" borderId="45" xfId="0" applyFont="1" applyFill="1" applyBorder="1" applyAlignment="1">
      <alignment horizontal="center" wrapText="1"/>
    </xf>
    <xf numFmtId="0" fontId="5" fillId="0" borderId="85" xfId="47" applyFont="1" applyBorder="1" applyAlignment="1">
      <alignment horizontal="center"/>
      <protection/>
    </xf>
    <xf numFmtId="0" fontId="5" fillId="0" borderId="86" xfId="47" applyFont="1" applyBorder="1" applyAlignment="1">
      <alignment horizontal="center"/>
      <protection/>
    </xf>
    <xf numFmtId="4" fontId="2" fillId="0" borderId="42" xfId="47" applyNumberFormat="1" applyBorder="1">
      <alignment/>
      <protection/>
    </xf>
    <xf numFmtId="4" fontId="2" fillId="0" borderId="41" xfId="47" applyNumberFormat="1" applyFill="1" applyBorder="1">
      <alignment/>
      <protection/>
    </xf>
    <xf numFmtId="4" fontId="2" fillId="0" borderId="14" xfId="47" applyNumberFormat="1" applyBorder="1">
      <alignment/>
      <protection/>
    </xf>
    <xf numFmtId="4" fontId="5" fillId="0" borderId="59" xfId="47" applyNumberFormat="1" applyFont="1" applyBorder="1" applyAlignment="1">
      <alignment horizontal="right"/>
      <protection/>
    </xf>
    <xf numFmtId="4" fontId="5" fillId="0" borderId="45" xfId="47" applyNumberFormat="1" applyFont="1" applyFill="1" applyBorder="1">
      <alignment/>
      <protection/>
    </xf>
    <xf numFmtId="4" fontId="2" fillId="0" borderId="79" xfId="47" applyNumberFormat="1" applyBorder="1">
      <alignment/>
      <protection/>
    </xf>
    <xf numFmtId="0" fontId="5" fillId="0" borderId="86" xfId="47" applyFont="1" applyFill="1" applyBorder="1" applyAlignment="1">
      <alignment horizontal="center"/>
      <protection/>
    </xf>
    <xf numFmtId="4" fontId="5" fillId="0" borderId="45" xfId="47" applyNumberFormat="1" applyFont="1" applyBorder="1">
      <alignment/>
      <protection/>
    </xf>
    <xf numFmtId="4" fontId="2" fillId="0" borderId="80" xfId="47" applyNumberFormat="1" applyFont="1" applyBorder="1">
      <alignment/>
      <protection/>
    </xf>
    <xf numFmtId="4" fontId="2" fillId="0" borderId="14" xfId="47" applyNumberFormat="1" applyFill="1" applyBorder="1">
      <alignment/>
      <protection/>
    </xf>
    <xf numFmtId="0" fontId="5" fillId="0" borderId="30" xfId="47" applyFont="1" applyFill="1" applyBorder="1">
      <alignment/>
      <protection/>
    </xf>
    <xf numFmtId="4" fontId="2" fillId="0" borderId="62" xfId="47" applyNumberFormat="1" applyFont="1" applyBorder="1">
      <alignment/>
      <protection/>
    </xf>
    <xf numFmtId="4" fontId="2" fillId="0" borderId="42" xfId="47" applyNumberFormat="1" applyBorder="1" applyAlignment="1">
      <alignment horizontal="right"/>
      <protection/>
    </xf>
    <xf numFmtId="4" fontId="2" fillId="0" borderId="14" xfId="47" applyNumberFormat="1" applyBorder="1" applyAlignment="1">
      <alignment horizontal="right"/>
      <protection/>
    </xf>
    <xf numFmtId="4" fontId="5" fillId="0" borderId="59" xfId="47" applyNumberFormat="1" applyFont="1" applyBorder="1" applyAlignment="1">
      <alignment horizontal="right"/>
      <protection/>
    </xf>
    <xf numFmtId="0" fontId="39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0" borderId="9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wrapText="1"/>
    </xf>
    <xf numFmtId="0" fontId="0" fillId="0" borderId="52" xfId="0" applyBorder="1" applyAlignment="1">
      <alignment horizont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ondy" xfId="47"/>
    <cellStyle name="normální_HV suma" xfId="48"/>
    <cellStyle name="normální_MP2002" xfId="49"/>
    <cellStyle name="normální_OBV" xfId="50"/>
    <cellStyle name="normální_tab PO" xfId="51"/>
    <cellStyle name="normální_Vysledovka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64"/>
  <sheetViews>
    <sheetView tabSelected="1" zoomScale="80" zoomScaleNormal="80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5" sqref="A65"/>
    </sheetView>
  </sheetViews>
  <sheetFormatPr defaultColWidth="9.140625" defaultRowHeight="12.75"/>
  <cols>
    <col min="1" max="1" width="10.421875" style="0" customWidth="1"/>
    <col min="2" max="2" width="35.00390625" style="0" customWidth="1"/>
    <col min="3" max="6" width="9.57421875" style="0" bestFit="1" customWidth="1"/>
    <col min="7" max="7" width="7.00390625" style="0" bestFit="1" customWidth="1"/>
    <col min="8" max="8" width="9.57421875" style="0" bestFit="1" customWidth="1"/>
    <col min="9" max="9" width="8.28125" style="146" bestFit="1" customWidth="1"/>
    <col min="10" max="11" width="9.57421875" style="0" bestFit="1" customWidth="1"/>
    <col min="12" max="12" width="11.421875" style="0" bestFit="1" customWidth="1"/>
    <col min="13" max="13" width="9.57421875" style="146" customWidth="1"/>
    <col min="14" max="14" width="11.28125" style="0" customWidth="1"/>
    <col min="15" max="15" width="8.28125" style="0" bestFit="1" customWidth="1"/>
    <col min="16" max="17" width="10.421875" style="0" bestFit="1" customWidth="1"/>
  </cols>
  <sheetData>
    <row r="1" spans="1:14" ht="15.75">
      <c r="A1" s="145" t="s">
        <v>243</v>
      </c>
      <c r="I1"/>
      <c r="N1" s="145" t="s">
        <v>207</v>
      </c>
    </row>
    <row r="2" spans="1:14" ht="16.5" thickBot="1">
      <c r="A2" s="145"/>
      <c r="N2" t="s">
        <v>1</v>
      </c>
    </row>
    <row r="3" spans="1:15" ht="66.75" customHeight="1" thickBot="1">
      <c r="A3" s="147"/>
      <c r="B3" s="148"/>
      <c r="C3" s="149" t="s">
        <v>135</v>
      </c>
      <c r="D3" s="150" t="s">
        <v>136</v>
      </c>
      <c r="E3" s="151" t="s">
        <v>137</v>
      </c>
      <c r="F3" s="152" t="s">
        <v>138</v>
      </c>
      <c r="G3" s="149" t="s">
        <v>139</v>
      </c>
      <c r="H3" s="150" t="s">
        <v>140</v>
      </c>
      <c r="I3" s="216" t="s">
        <v>184</v>
      </c>
      <c r="J3" s="151" t="s">
        <v>141</v>
      </c>
      <c r="K3" s="151" t="s">
        <v>142</v>
      </c>
      <c r="L3" s="153" t="s">
        <v>143</v>
      </c>
      <c r="M3" s="225" t="s">
        <v>495</v>
      </c>
      <c r="N3" s="153" t="s">
        <v>145</v>
      </c>
      <c r="O3" s="151" t="s">
        <v>146</v>
      </c>
    </row>
    <row r="4" spans="1:15" ht="51.75" customHeight="1" thickBot="1">
      <c r="A4" s="154" t="s">
        <v>147</v>
      </c>
      <c r="B4" s="155" t="s">
        <v>148</v>
      </c>
      <c r="C4" s="156" t="s">
        <v>371</v>
      </c>
      <c r="D4" s="157" t="s">
        <v>372</v>
      </c>
      <c r="E4" s="158"/>
      <c r="F4" s="159" t="s">
        <v>373</v>
      </c>
      <c r="G4" s="160" t="s">
        <v>374</v>
      </c>
      <c r="H4" s="160" t="s">
        <v>375</v>
      </c>
      <c r="I4" s="161"/>
      <c r="J4" s="158"/>
      <c r="K4" s="158"/>
      <c r="L4" s="158"/>
      <c r="M4" s="269"/>
      <c r="N4" s="158"/>
      <c r="O4" s="269" t="s">
        <v>376</v>
      </c>
    </row>
    <row r="5" spans="1:15" ht="25.5" hidden="1">
      <c r="A5" s="381" t="s">
        <v>187</v>
      </c>
      <c r="B5" s="382" t="s">
        <v>188</v>
      </c>
      <c r="C5" s="166"/>
      <c r="D5" s="167"/>
      <c r="E5" s="168">
        <f aca="true" t="shared" si="0" ref="E5:E17">SUM(C5:D5)</f>
        <v>0</v>
      </c>
      <c r="F5" s="169"/>
      <c r="G5" s="166"/>
      <c r="H5" s="275">
        <f>19431-19431</f>
        <v>0</v>
      </c>
      <c r="I5" s="270"/>
      <c r="J5" s="170">
        <f aca="true" t="shared" si="1" ref="J5:J15">SUM(H5:I5)</f>
        <v>0</v>
      </c>
      <c r="K5" s="168">
        <f aca="true" t="shared" si="2" ref="K5:K15">SUM(F5,G5,J5)</f>
        <v>0</v>
      </c>
      <c r="L5" s="171">
        <f aca="true" t="shared" si="3" ref="L5:L15">SUM(E5,K5)</f>
        <v>0</v>
      </c>
      <c r="M5" s="171"/>
      <c r="N5" s="171">
        <f aca="true" t="shared" si="4" ref="N5:N15">SUM(L5,M5)</f>
        <v>0</v>
      </c>
      <c r="O5" s="231"/>
    </row>
    <row r="6" spans="1:15" ht="25.5" hidden="1">
      <c r="A6" s="381" t="s">
        <v>189</v>
      </c>
      <c r="B6" s="382" t="s">
        <v>190</v>
      </c>
      <c r="C6" s="166"/>
      <c r="D6" s="167"/>
      <c r="E6" s="168">
        <f t="shared" si="0"/>
        <v>0</v>
      </c>
      <c r="F6" s="169"/>
      <c r="G6" s="166"/>
      <c r="H6" s="166"/>
      <c r="I6" s="271"/>
      <c r="J6" s="170">
        <f t="shared" si="1"/>
        <v>0</v>
      </c>
      <c r="K6" s="168">
        <f t="shared" si="2"/>
        <v>0</v>
      </c>
      <c r="L6" s="171">
        <f t="shared" si="3"/>
        <v>0</v>
      </c>
      <c r="M6" s="171"/>
      <c r="N6" s="171">
        <f t="shared" si="4"/>
        <v>0</v>
      </c>
      <c r="O6" s="231"/>
    </row>
    <row r="7" spans="1:15" ht="25.5">
      <c r="A7" s="173" t="s">
        <v>219</v>
      </c>
      <c r="B7" s="174" t="s">
        <v>220</v>
      </c>
      <c r="C7" s="166">
        <v>123</v>
      </c>
      <c r="D7" s="167">
        <v>32</v>
      </c>
      <c r="E7" s="168">
        <f t="shared" si="0"/>
        <v>155</v>
      </c>
      <c r="F7" s="169">
        <v>42</v>
      </c>
      <c r="G7" s="166">
        <v>2</v>
      </c>
      <c r="H7" s="166">
        <v>51</v>
      </c>
      <c r="I7" s="271"/>
      <c r="J7" s="170">
        <f t="shared" si="1"/>
        <v>51</v>
      </c>
      <c r="K7" s="168">
        <f t="shared" si="2"/>
        <v>95</v>
      </c>
      <c r="L7" s="171">
        <f t="shared" si="3"/>
        <v>250</v>
      </c>
      <c r="M7" s="171"/>
      <c r="N7" s="171">
        <f t="shared" si="4"/>
        <v>250</v>
      </c>
      <c r="O7" s="231">
        <v>0.5</v>
      </c>
    </row>
    <row r="8" spans="1:15" ht="12.75">
      <c r="A8" s="173" t="s">
        <v>191</v>
      </c>
      <c r="B8" s="174" t="s">
        <v>192</v>
      </c>
      <c r="C8" s="166"/>
      <c r="D8" s="167">
        <v>5</v>
      </c>
      <c r="E8" s="168">
        <f t="shared" si="0"/>
        <v>5</v>
      </c>
      <c r="F8" s="169"/>
      <c r="G8" s="166"/>
      <c r="H8" s="166">
        <v>637</v>
      </c>
      <c r="I8" s="271"/>
      <c r="J8" s="170">
        <f t="shared" si="1"/>
        <v>637</v>
      </c>
      <c r="K8" s="168">
        <f t="shared" si="2"/>
        <v>637</v>
      </c>
      <c r="L8" s="171">
        <f t="shared" si="3"/>
        <v>642</v>
      </c>
      <c r="M8" s="171"/>
      <c r="N8" s="171">
        <f t="shared" si="4"/>
        <v>642</v>
      </c>
      <c r="O8" s="231"/>
    </row>
    <row r="9" spans="1:15" ht="12.75">
      <c r="A9" s="276" t="s">
        <v>193</v>
      </c>
      <c r="B9" s="277" t="s">
        <v>194</v>
      </c>
      <c r="C9" s="166">
        <v>10438</v>
      </c>
      <c r="D9" s="167">
        <v>816</v>
      </c>
      <c r="E9" s="168">
        <f t="shared" si="0"/>
        <v>11254</v>
      </c>
      <c r="F9" s="169">
        <v>3730</v>
      </c>
      <c r="G9" s="166">
        <v>209</v>
      </c>
      <c r="H9" s="166">
        <v>12346</v>
      </c>
      <c r="I9" s="271"/>
      <c r="J9" s="170">
        <f t="shared" si="1"/>
        <v>12346</v>
      </c>
      <c r="K9" s="168">
        <f t="shared" si="2"/>
        <v>16285</v>
      </c>
      <c r="L9" s="171">
        <f t="shared" si="3"/>
        <v>27539</v>
      </c>
      <c r="M9" s="171">
        <v>3500</v>
      </c>
      <c r="N9" s="171">
        <f t="shared" si="4"/>
        <v>31039</v>
      </c>
      <c r="O9" s="231">
        <v>38.34</v>
      </c>
    </row>
    <row r="10" spans="1:15" ht="12.75">
      <c r="A10" s="173" t="s">
        <v>195</v>
      </c>
      <c r="B10" s="174" t="s">
        <v>196</v>
      </c>
      <c r="C10" s="166">
        <v>120</v>
      </c>
      <c r="D10" s="167">
        <v>330</v>
      </c>
      <c r="E10" s="168">
        <f t="shared" si="0"/>
        <v>450</v>
      </c>
      <c r="F10" s="169">
        <v>41</v>
      </c>
      <c r="G10" s="166">
        <v>3</v>
      </c>
      <c r="H10" s="166">
        <v>12035</v>
      </c>
      <c r="I10" s="271"/>
      <c r="J10" s="170">
        <f t="shared" si="1"/>
        <v>12035</v>
      </c>
      <c r="K10" s="168">
        <f t="shared" si="2"/>
        <v>12079</v>
      </c>
      <c r="L10" s="171">
        <f t="shared" si="3"/>
        <v>12529</v>
      </c>
      <c r="M10" s="171"/>
      <c r="N10" s="171">
        <f t="shared" si="4"/>
        <v>12529</v>
      </c>
      <c r="O10" s="231">
        <v>0.67</v>
      </c>
    </row>
    <row r="11" spans="1:15" ht="25.5">
      <c r="A11" s="173" t="s">
        <v>221</v>
      </c>
      <c r="B11" s="174" t="s">
        <v>377</v>
      </c>
      <c r="C11" s="166">
        <v>4030</v>
      </c>
      <c r="D11" s="167"/>
      <c r="E11" s="168">
        <f t="shared" si="0"/>
        <v>4030</v>
      </c>
      <c r="F11" s="169">
        <v>1371</v>
      </c>
      <c r="G11" s="166">
        <v>81</v>
      </c>
      <c r="H11" s="166">
        <v>26814</v>
      </c>
      <c r="I11" s="271"/>
      <c r="J11" s="170">
        <f t="shared" si="1"/>
        <v>26814</v>
      </c>
      <c r="K11" s="168">
        <f t="shared" si="2"/>
        <v>28266</v>
      </c>
      <c r="L11" s="171">
        <f t="shared" si="3"/>
        <v>32296</v>
      </c>
      <c r="M11" s="171"/>
      <c r="N11" s="171">
        <f t="shared" si="4"/>
        <v>32296</v>
      </c>
      <c r="O11" s="231">
        <v>15.3</v>
      </c>
    </row>
    <row r="12" spans="1:15" ht="25.5">
      <c r="A12" s="173" t="s">
        <v>197</v>
      </c>
      <c r="B12" s="174" t="s">
        <v>198</v>
      </c>
      <c r="C12" s="166"/>
      <c r="D12" s="167">
        <v>20</v>
      </c>
      <c r="E12" s="168">
        <f t="shared" si="0"/>
        <v>20</v>
      </c>
      <c r="F12" s="169"/>
      <c r="G12" s="166"/>
      <c r="H12" s="166">
        <v>2197</v>
      </c>
      <c r="I12" s="271"/>
      <c r="J12" s="170">
        <f t="shared" si="1"/>
        <v>2197</v>
      </c>
      <c r="K12" s="168">
        <f t="shared" si="2"/>
        <v>2197</v>
      </c>
      <c r="L12" s="171">
        <f t="shared" si="3"/>
        <v>2217</v>
      </c>
      <c r="M12" s="171"/>
      <c r="N12" s="171">
        <f t="shared" si="4"/>
        <v>2217</v>
      </c>
      <c r="O12" s="231"/>
    </row>
    <row r="13" spans="1:15" ht="12.75">
      <c r="A13" s="173" t="s">
        <v>378</v>
      </c>
      <c r="B13" s="174" t="s">
        <v>199</v>
      </c>
      <c r="C13" s="166">
        <v>11844</v>
      </c>
      <c r="D13" s="167">
        <v>1457</v>
      </c>
      <c r="E13" s="168">
        <f t="shared" si="0"/>
        <v>13301</v>
      </c>
      <c r="F13" s="169">
        <v>4522</v>
      </c>
      <c r="G13" s="166">
        <v>237</v>
      </c>
      <c r="H13" s="166">
        <v>20103</v>
      </c>
      <c r="I13" s="271"/>
      <c r="J13" s="170">
        <f t="shared" si="1"/>
        <v>20103</v>
      </c>
      <c r="K13" s="168">
        <f t="shared" si="2"/>
        <v>24862</v>
      </c>
      <c r="L13" s="171">
        <f t="shared" si="3"/>
        <v>38163</v>
      </c>
      <c r="M13" s="171">
        <v>36682</v>
      </c>
      <c r="N13" s="171">
        <f t="shared" si="4"/>
        <v>74845</v>
      </c>
      <c r="O13" s="231">
        <v>47.4</v>
      </c>
    </row>
    <row r="14" spans="1:15" ht="12.75">
      <c r="A14" s="173" t="s">
        <v>379</v>
      </c>
      <c r="B14" s="174" t="s">
        <v>200</v>
      </c>
      <c r="C14" s="166">
        <v>3901</v>
      </c>
      <c r="D14" s="167"/>
      <c r="E14" s="168">
        <f t="shared" si="0"/>
        <v>3901</v>
      </c>
      <c r="F14" s="169">
        <v>1326</v>
      </c>
      <c r="G14" s="166">
        <v>78</v>
      </c>
      <c r="H14" s="166"/>
      <c r="I14" s="271"/>
      <c r="J14" s="170">
        <f t="shared" si="1"/>
        <v>0</v>
      </c>
      <c r="K14" s="168">
        <f t="shared" si="2"/>
        <v>1404</v>
      </c>
      <c r="L14" s="171">
        <f t="shared" si="3"/>
        <v>5305</v>
      </c>
      <c r="M14" s="171"/>
      <c r="N14" s="171">
        <f t="shared" si="4"/>
        <v>5305</v>
      </c>
      <c r="O14" s="231">
        <v>12</v>
      </c>
    </row>
    <row r="15" spans="1:15" ht="13.5" thickBot="1">
      <c r="A15" s="173" t="s">
        <v>380</v>
      </c>
      <c r="B15" s="174" t="s">
        <v>381</v>
      </c>
      <c r="C15" s="166">
        <v>420</v>
      </c>
      <c r="D15" s="167">
        <v>180</v>
      </c>
      <c r="E15" s="168">
        <f t="shared" si="0"/>
        <v>600</v>
      </c>
      <c r="F15" s="169">
        <v>150</v>
      </c>
      <c r="G15" s="166"/>
      <c r="H15" s="166">
        <v>3250</v>
      </c>
      <c r="I15" s="271"/>
      <c r="J15" s="170">
        <f t="shared" si="1"/>
        <v>3250</v>
      </c>
      <c r="K15" s="168">
        <f t="shared" si="2"/>
        <v>3400</v>
      </c>
      <c r="L15" s="171">
        <f t="shared" si="3"/>
        <v>4000</v>
      </c>
      <c r="M15" s="171"/>
      <c r="N15" s="171">
        <f t="shared" si="4"/>
        <v>4000</v>
      </c>
      <c r="O15" s="231"/>
    </row>
    <row r="16" spans="1:15" ht="14.25" customHeight="1" thickBot="1">
      <c r="A16" s="179"/>
      <c r="B16" s="180" t="s">
        <v>149</v>
      </c>
      <c r="C16" s="183">
        <f aca="true" t="shared" si="5" ref="C16:O16">SUM(C5:C15)</f>
        <v>30876</v>
      </c>
      <c r="D16" s="183">
        <f t="shared" si="5"/>
        <v>2840</v>
      </c>
      <c r="E16" s="183">
        <f t="shared" si="5"/>
        <v>33716</v>
      </c>
      <c r="F16" s="183">
        <f t="shared" si="5"/>
        <v>11182</v>
      </c>
      <c r="G16" s="183">
        <f t="shared" si="5"/>
        <v>610</v>
      </c>
      <c r="H16" s="183">
        <f t="shared" si="5"/>
        <v>77433</v>
      </c>
      <c r="I16" s="183">
        <f t="shared" si="5"/>
        <v>0</v>
      </c>
      <c r="J16" s="183">
        <f t="shared" si="5"/>
        <v>77433</v>
      </c>
      <c r="K16" s="183">
        <f t="shared" si="5"/>
        <v>89225</v>
      </c>
      <c r="L16" s="183">
        <f t="shared" si="5"/>
        <v>122941</v>
      </c>
      <c r="M16" s="183">
        <f t="shared" si="5"/>
        <v>40182</v>
      </c>
      <c r="N16" s="183">
        <f t="shared" si="5"/>
        <v>163123</v>
      </c>
      <c r="O16" s="184">
        <f t="shared" si="5"/>
        <v>114.21000000000001</v>
      </c>
    </row>
    <row r="17" spans="1:15" ht="13.5" thickBot="1">
      <c r="A17" s="232"/>
      <c r="B17" s="233" t="s">
        <v>205</v>
      </c>
      <c r="C17" s="272">
        <f>ESF!C9+ESF!C26</f>
        <v>6770.482</v>
      </c>
      <c r="D17" s="273">
        <f>ESF!D9+ESF!D26</f>
        <v>5762.453</v>
      </c>
      <c r="E17" s="234">
        <f t="shared" si="0"/>
        <v>12532.935000000001</v>
      </c>
      <c r="F17" s="272">
        <f>ESF!F9+ESF!F26</f>
        <v>3267.2020000000007</v>
      </c>
      <c r="G17" s="274">
        <f>ESF!G9+ESF!G26</f>
        <v>137.15800000000002</v>
      </c>
      <c r="H17" s="274">
        <f>ESF!H9+ESF!H26</f>
        <v>9648.985</v>
      </c>
      <c r="I17" s="273">
        <f>ESF!I9+ESF!I26</f>
        <v>0</v>
      </c>
      <c r="J17" s="234">
        <f>SUM(H17:I17)</f>
        <v>9648.985</v>
      </c>
      <c r="K17" s="234">
        <f>SUM(F17,G17,J17)</f>
        <v>13053.345000000001</v>
      </c>
      <c r="L17" s="234">
        <f>SUM(E17,K17)</f>
        <v>25586.280000000002</v>
      </c>
      <c r="M17" s="234"/>
      <c r="N17" s="234">
        <f>SUM(L17,M17)</f>
        <v>25586.280000000002</v>
      </c>
      <c r="O17" s="235">
        <f>ESF!O9+ESF!O26</f>
        <v>9</v>
      </c>
    </row>
    <row r="18" spans="1:15" ht="12.75">
      <c r="A18" s="164" t="s">
        <v>382</v>
      </c>
      <c r="B18" s="187" t="s">
        <v>383</v>
      </c>
      <c r="C18" s="86">
        <v>14</v>
      </c>
      <c r="D18" s="175"/>
      <c r="E18" s="170">
        <f aca="true" t="shared" si="6" ref="E18:E24">SUM(C18:D18)</f>
        <v>14</v>
      </c>
      <c r="F18" s="101">
        <v>5</v>
      </c>
      <c r="G18" s="86">
        <v>1</v>
      </c>
      <c r="H18" s="86">
        <v>238</v>
      </c>
      <c r="I18" s="176"/>
      <c r="J18" s="170">
        <f aca="true" t="shared" si="7" ref="J18:J24">SUM(H18:I18)</f>
        <v>238</v>
      </c>
      <c r="K18" s="170">
        <f aca="true" t="shared" si="8" ref="K18:K24">SUM(F18,G18,J18)</f>
        <v>244</v>
      </c>
      <c r="L18" s="177">
        <f aca="true" t="shared" si="9" ref="L18:L24">SUM(E18,K18)</f>
        <v>258</v>
      </c>
      <c r="M18" s="177"/>
      <c r="N18" s="177">
        <f aca="true" t="shared" si="10" ref="N18:N24">SUM(L18,M18)</f>
        <v>258</v>
      </c>
      <c r="O18" s="178"/>
    </row>
    <row r="19" spans="1:15" ht="12.75">
      <c r="A19" s="164" t="s">
        <v>150</v>
      </c>
      <c r="B19" s="187" t="s">
        <v>151</v>
      </c>
      <c r="C19" s="86">
        <v>37645</v>
      </c>
      <c r="D19" s="175">
        <v>982</v>
      </c>
      <c r="E19" s="170">
        <f t="shared" si="6"/>
        <v>38627</v>
      </c>
      <c r="F19" s="101">
        <v>12866</v>
      </c>
      <c r="G19" s="86">
        <v>753</v>
      </c>
      <c r="H19" s="86">
        <v>11597</v>
      </c>
      <c r="I19" s="176"/>
      <c r="J19" s="170">
        <f t="shared" si="7"/>
        <v>11597</v>
      </c>
      <c r="K19" s="170">
        <f t="shared" si="8"/>
        <v>25216</v>
      </c>
      <c r="L19" s="177">
        <f t="shared" si="9"/>
        <v>63843</v>
      </c>
      <c r="M19" s="177">
        <v>13000</v>
      </c>
      <c r="N19" s="177">
        <f t="shared" si="10"/>
        <v>76843</v>
      </c>
      <c r="O19" s="178">
        <v>135.58</v>
      </c>
    </row>
    <row r="20" spans="1:15" ht="12.75">
      <c r="A20" s="164" t="s">
        <v>222</v>
      </c>
      <c r="B20" s="187" t="s">
        <v>223</v>
      </c>
      <c r="C20" s="86"/>
      <c r="D20" s="175"/>
      <c r="E20" s="170">
        <f t="shared" si="6"/>
        <v>0</v>
      </c>
      <c r="F20" s="101"/>
      <c r="G20" s="86"/>
      <c r="H20" s="86"/>
      <c r="I20" s="176"/>
      <c r="J20" s="170">
        <f t="shared" si="7"/>
        <v>0</v>
      </c>
      <c r="K20" s="170">
        <f t="shared" si="8"/>
        <v>0</v>
      </c>
      <c r="L20" s="177">
        <f t="shared" si="9"/>
        <v>0</v>
      </c>
      <c r="M20" s="177"/>
      <c r="N20" s="177">
        <f t="shared" si="10"/>
        <v>0</v>
      </c>
      <c r="O20" s="178"/>
    </row>
    <row r="21" spans="1:15" ht="12.75">
      <c r="A21" s="173" t="s">
        <v>201</v>
      </c>
      <c r="B21" s="174" t="s">
        <v>202</v>
      </c>
      <c r="C21" s="86"/>
      <c r="D21" s="175"/>
      <c r="E21" s="170">
        <f t="shared" si="6"/>
        <v>0</v>
      </c>
      <c r="F21" s="101"/>
      <c r="G21" s="86"/>
      <c r="H21" s="86">
        <v>4037</v>
      </c>
      <c r="I21" s="176"/>
      <c r="J21" s="170">
        <f t="shared" si="7"/>
        <v>4037</v>
      </c>
      <c r="K21" s="170">
        <f t="shared" si="8"/>
        <v>4037</v>
      </c>
      <c r="L21" s="177">
        <f t="shared" si="9"/>
        <v>4037</v>
      </c>
      <c r="M21" s="177"/>
      <c r="N21" s="177">
        <f t="shared" si="10"/>
        <v>4037</v>
      </c>
      <c r="O21" s="178"/>
    </row>
    <row r="22" spans="1:15" ht="12.75">
      <c r="A22" s="173" t="s">
        <v>152</v>
      </c>
      <c r="B22" s="174" t="s">
        <v>153</v>
      </c>
      <c r="C22" s="86">
        <v>5344</v>
      </c>
      <c r="D22" s="175">
        <v>1537</v>
      </c>
      <c r="E22" s="170">
        <f t="shared" si="6"/>
        <v>6881</v>
      </c>
      <c r="F22" s="101">
        <v>1817</v>
      </c>
      <c r="G22" s="86">
        <v>107</v>
      </c>
      <c r="H22" s="86">
        <v>2517</v>
      </c>
      <c r="I22" s="176"/>
      <c r="J22" s="170">
        <f t="shared" si="7"/>
        <v>2517</v>
      </c>
      <c r="K22" s="170">
        <f t="shared" si="8"/>
        <v>4441</v>
      </c>
      <c r="L22" s="177">
        <f t="shared" si="9"/>
        <v>11322</v>
      </c>
      <c r="M22" s="177"/>
      <c r="N22" s="177">
        <f t="shared" si="10"/>
        <v>11322</v>
      </c>
      <c r="O22" s="178">
        <v>15.4</v>
      </c>
    </row>
    <row r="23" spans="1:15" ht="12.75">
      <c r="A23" s="173" t="s">
        <v>154</v>
      </c>
      <c r="B23" s="174" t="s">
        <v>484</v>
      </c>
      <c r="C23" s="86">
        <v>265</v>
      </c>
      <c r="D23" s="175">
        <v>340</v>
      </c>
      <c r="E23" s="170">
        <f t="shared" si="6"/>
        <v>605</v>
      </c>
      <c r="F23" s="101">
        <v>125</v>
      </c>
      <c r="G23" s="86">
        <v>5</v>
      </c>
      <c r="H23" s="86">
        <v>280</v>
      </c>
      <c r="I23" s="176"/>
      <c r="J23" s="170">
        <f t="shared" si="7"/>
        <v>280</v>
      </c>
      <c r="K23" s="170">
        <f t="shared" si="8"/>
        <v>410</v>
      </c>
      <c r="L23" s="177">
        <f t="shared" si="9"/>
        <v>1015</v>
      </c>
      <c r="M23" s="177"/>
      <c r="N23" s="177">
        <f t="shared" si="10"/>
        <v>1015</v>
      </c>
      <c r="O23" s="178"/>
    </row>
    <row r="24" spans="1:15" ht="26.25" thickBot="1">
      <c r="A24" s="173" t="s">
        <v>180</v>
      </c>
      <c r="B24" s="174" t="s">
        <v>384</v>
      </c>
      <c r="C24" s="86">
        <v>581</v>
      </c>
      <c r="D24" s="175">
        <v>100</v>
      </c>
      <c r="E24" s="170">
        <f t="shared" si="6"/>
        <v>681</v>
      </c>
      <c r="F24" s="101">
        <v>198</v>
      </c>
      <c r="G24" s="86">
        <v>12</v>
      </c>
      <c r="H24" s="86">
        <v>799</v>
      </c>
      <c r="I24" s="176"/>
      <c r="J24" s="170">
        <f t="shared" si="7"/>
        <v>799</v>
      </c>
      <c r="K24" s="170">
        <f t="shared" si="8"/>
        <v>1009</v>
      </c>
      <c r="L24" s="177">
        <f t="shared" si="9"/>
        <v>1690</v>
      </c>
      <c r="M24" s="177"/>
      <c r="N24" s="177">
        <f t="shared" si="10"/>
        <v>1690</v>
      </c>
      <c r="O24" s="178">
        <v>1</v>
      </c>
    </row>
    <row r="25" spans="1:15" ht="14.25" customHeight="1" thickBot="1">
      <c r="A25" s="179"/>
      <c r="B25" s="180" t="s">
        <v>155</v>
      </c>
      <c r="C25" s="183">
        <f aca="true" t="shared" si="11" ref="C25:O25">SUM(C17:C24)</f>
        <v>50619.482</v>
      </c>
      <c r="D25" s="185">
        <f t="shared" si="11"/>
        <v>8721.453000000001</v>
      </c>
      <c r="E25" s="181">
        <f t="shared" si="11"/>
        <v>59340.935</v>
      </c>
      <c r="F25" s="186">
        <f t="shared" si="11"/>
        <v>18278.202</v>
      </c>
      <c r="G25" s="183">
        <f t="shared" si="11"/>
        <v>1015.158</v>
      </c>
      <c r="H25" s="183">
        <f t="shared" si="11"/>
        <v>29116.985</v>
      </c>
      <c r="I25" s="183">
        <f t="shared" si="11"/>
        <v>0</v>
      </c>
      <c r="J25" s="181">
        <f t="shared" si="11"/>
        <v>29116.985</v>
      </c>
      <c r="K25" s="181">
        <f t="shared" si="11"/>
        <v>48410.345</v>
      </c>
      <c r="L25" s="181">
        <f t="shared" si="11"/>
        <v>107751.28</v>
      </c>
      <c r="M25" s="181">
        <f t="shared" si="11"/>
        <v>13000</v>
      </c>
      <c r="N25" s="181">
        <f t="shared" si="11"/>
        <v>120751.28</v>
      </c>
      <c r="O25" s="182">
        <f t="shared" si="11"/>
        <v>160.98000000000002</v>
      </c>
    </row>
    <row r="26" spans="1:15" ht="12.75">
      <c r="A26" s="164" t="s">
        <v>156</v>
      </c>
      <c r="B26" s="165" t="s">
        <v>157</v>
      </c>
      <c r="C26" s="166">
        <v>4714</v>
      </c>
      <c r="D26" s="167">
        <v>885</v>
      </c>
      <c r="E26" s="168">
        <f>SUM(C26:D26)</f>
        <v>5599</v>
      </c>
      <c r="F26" s="169">
        <v>1754</v>
      </c>
      <c r="G26" s="166">
        <v>95</v>
      </c>
      <c r="H26" s="166">
        <v>4718</v>
      </c>
      <c r="I26" s="166"/>
      <c r="J26" s="168">
        <f>SUM(H26:I26)</f>
        <v>4718</v>
      </c>
      <c r="K26" s="168">
        <f>SUM(F26,G26,J26)</f>
        <v>6567</v>
      </c>
      <c r="L26" s="171">
        <f>SUM(E26,K26)</f>
        <v>12166</v>
      </c>
      <c r="M26" s="171">
        <v>160</v>
      </c>
      <c r="N26" s="171">
        <f>SUM(L26,M26)</f>
        <v>12326</v>
      </c>
      <c r="O26" s="172">
        <v>15.24</v>
      </c>
    </row>
    <row r="27" spans="1:15" ht="12.75">
      <c r="A27" s="164" t="s">
        <v>181</v>
      </c>
      <c r="B27" s="165" t="s">
        <v>182</v>
      </c>
      <c r="C27" s="166"/>
      <c r="D27" s="167"/>
      <c r="E27" s="168">
        <f>SUM(C27:D27)</f>
        <v>0</v>
      </c>
      <c r="F27" s="169"/>
      <c r="G27" s="166"/>
      <c r="H27" s="166">
        <v>312</v>
      </c>
      <c r="I27" s="166"/>
      <c r="J27" s="168">
        <f>SUM(H27:I27)</f>
        <v>312</v>
      </c>
      <c r="K27" s="168">
        <f>SUM(F27,G27,J27)</f>
        <v>312</v>
      </c>
      <c r="L27" s="171">
        <f>SUM(E27,K27)</f>
        <v>312</v>
      </c>
      <c r="M27" s="171"/>
      <c r="N27" s="171">
        <f>SUM(L27,M27)</f>
        <v>312</v>
      </c>
      <c r="O27" s="172"/>
    </row>
    <row r="28" spans="1:15" ht="13.5" thickBot="1">
      <c r="A28" s="164" t="s">
        <v>158</v>
      </c>
      <c r="B28" s="165" t="s">
        <v>231</v>
      </c>
      <c r="C28" s="166"/>
      <c r="D28" s="167"/>
      <c r="E28" s="168">
        <f>SUM(C28:D28)</f>
        <v>0</v>
      </c>
      <c r="F28" s="169"/>
      <c r="G28" s="166"/>
      <c r="H28" s="166">
        <v>3</v>
      </c>
      <c r="I28" s="166"/>
      <c r="J28" s="168">
        <f>SUM(H28:I28)</f>
        <v>3</v>
      </c>
      <c r="K28" s="168">
        <f>SUM(F28,G28,J28)</f>
        <v>3</v>
      </c>
      <c r="L28" s="171">
        <f>SUM(E28,K28)</f>
        <v>3</v>
      </c>
      <c r="M28" s="171"/>
      <c r="N28" s="171">
        <f>SUM(L28,M28)</f>
        <v>3</v>
      </c>
      <c r="O28" s="172"/>
    </row>
    <row r="29" spans="1:15" ht="14.25" customHeight="1" thickBot="1">
      <c r="A29" s="179"/>
      <c r="B29" s="180" t="s">
        <v>159</v>
      </c>
      <c r="C29" s="183">
        <f aca="true" t="shared" si="12" ref="C29:O29">SUM(C26:C28)</f>
        <v>4714</v>
      </c>
      <c r="D29" s="185">
        <f t="shared" si="12"/>
        <v>885</v>
      </c>
      <c r="E29" s="181">
        <f t="shared" si="12"/>
        <v>5599</v>
      </c>
      <c r="F29" s="186">
        <f t="shared" si="12"/>
        <v>1754</v>
      </c>
      <c r="G29" s="183">
        <f t="shared" si="12"/>
        <v>95</v>
      </c>
      <c r="H29" s="183">
        <f t="shared" si="12"/>
        <v>5033</v>
      </c>
      <c r="I29" s="183">
        <f t="shared" si="12"/>
        <v>0</v>
      </c>
      <c r="J29" s="181">
        <f t="shared" si="12"/>
        <v>5033</v>
      </c>
      <c r="K29" s="181">
        <f t="shared" si="12"/>
        <v>6882</v>
      </c>
      <c r="L29" s="181">
        <f t="shared" si="12"/>
        <v>12481</v>
      </c>
      <c r="M29" s="181">
        <f t="shared" si="12"/>
        <v>160</v>
      </c>
      <c r="N29" s="181">
        <f t="shared" si="12"/>
        <v>12641</v>
      </c>
      <c r="O29" s="182">
        <f t="shared" si="12"/>
        <v>15.24</v>
      </c>
    </row>
    <row r="30" spans="1:15" ht="13.5" thickBot="1">
      <c r="A30" s="232"/>
      <c r="B30" s="233" t="s">
        <v>206</v>
      </c>
      <c r="C30" s="272">
        <f>ESF!C30+ESF!C35</f>
        <v>21496.023</v>
      </c>
      <c r="D30" s="273">
        <f>ESF!D30+ESF!D35</f>
        <v>8181.5160000000005</v>
      </c>
      <c r="E30" s="234">
        <f>SUM(C30:D30)</f>
        <v>29677.539</v>
      </c>
      <c r="F30" s="272">
        <f>ESF!F30+ESF!F35</f>
        <v>8403.144</v>
      </c>
      <c r="G30" s="274">
        <f>ESF!G30+ESF!G35</f>
        <v>413.764</v>
      </c>
      <c r="H30" s="274">
        <f>ESF!H30+ESF!H35</f>
        <v>17984.084</v>
      </c>
      <c r="I30" s="273">
        <f>ESF!I30+ESF!I35</f>
        <v>402</v>
      </c>
      <c r="J30" s="234">
        <f>SUM(H30:I30)</f>
        <v>18386.084</v>
      </c>
      <c r="K30" s="234">
        <f>SUM(F30,G30,J30)</f>
        <v>27202.992</v>
      </c>
      <c r="L30" s="234">
        <f>SUM(E30,K30)</f>
        <v>56880.531</v>
      </c>
      <c r="M30" s="234"/>
      <c r="N30" s="234">
        <f>SUM(L30,M30)</f>
        <v>56880.531</v>
      </c>
      <c r="O30" s="235">
        <f>ESF!O30+ESF!O35</f>
        <v>41</v>
      </c>
    </row>
    <row r="31" spans="1:15" ht="25.5">
      <c r="A31" s="164" t="s">
        <v>468</v>
      </c>
      <c r="B31" s="165" t="s">
        <v>469</v>
      </c>
      <c r="C31" s="166"/>
      <c r="D31" s="167">
        <v>40</v>
      </c>
      <c r="E31" s="170">
        <f aca="true" t="shared" si="13" ref="E31:E38">SUM(C31:D31)</f>
        <v>40</v>
      </c>
      <c r="F31" s="169"/>
      <c r="G31" s="166"/>
      <c r="H31" s="166">
        <v>290</v>
      </c>
      <c r="I31" s="166"/>
      <c r="J31" s="170">
        <f aca="true" t="shared" si="14" ref="J31:J38">SUM(H31:I31)</f>
        <v>290</v>
      </c>
      <c r="K31" s="170">
        <f aca="true" t="shared" si="15" ref="K31:K38">SUM(F31,G31,J31)</f>
        <v>290</v>
      </c>
      <c r="L31" s="177">
        <f aca="true" t="shared" si="16" ref="L31:L38">SUM(E31,K31)</f>
        <v>330</v>
      </c>
      <c r="M31" s="177"/>
      <c r="N31" s="177">
        <f aca="true" t="shared" si="17" ref="N31:N38">SUM(L31,M31)</f>
        <v>330</v>
      </c>
      <c r="O31" s="172"/>
    </row>
    <row r="32" spans="1:15" ht="25.5">
      <c r="A32" s="164" t="s">
        <v>470</v>
      </c>
      <c r="B32" s="165" t="s">
        <v>471</v>
      </c>
      <c r="C32" s="166"/>
      <c r="D32" s="167">
        <v>30</v>
      </c>
      <c r="E32" s="170">
        <f>SUM(C32:D32)</f>
        <v>30</v>
      </c>
      <c r="F32" s="169"/>
      <c r="G32" s="166"/>
      <c r="H32" s="166">
        <v>203</v>
      </c>
      <c r="I32" s="166"/>
      <c r="J32" s="170">
        <f>SUM(H32:I32)</f>
        <v>203</v>
      </c>
      <c r="K32" s="170">
        <f>SUM(F32,G32,J32)</f>
        <v>203</v>
      </c>
      <c r="L32" s="177">
        <f>SUM(E32,K32)</f>
        <v>233</v>
      </c>
      <c r="M32" s="177"/>
      <c r="N32" s="177">
        <f>SUM(L32,M32)</f>
        <v>233</v>
      </c>
      <c r="O32" s="172"/>
    </row>
    <row r="33" spans="1:15" ht="12.75">
      <c r="A33" s="164" t="s">
        <v>203</v>
      </c>
      <c r="B33" s="165" t="s">
        <v>183</v>
      </c>
      <c r="C33" s="166"/>
      <c r="D33" s="167">
        <v>300</v>
      </c>
      <c r="E33" s="170">
        <f>SUM(C33:D33)</f>
        <v>300</v>
      </c>
      <c r="F33" s="169"/>
      <c r="G33" s="166"/>
      <c r="H33" s="166">
        <v>1144</v>
      </c>
      <c r="I33" s="166"/>
      <c r="J33" s="170">
        <f>SUM(H33:I33)</f>
        <v>1144</v>
      </c>
      <c r="K33" s="170">
        <f>SUM(F33,G33,J33)</f>
        <v>1144</v>
      </c>
      <c r="L33" s="177">
        <f>SUM(E33,K33)</f>
        <v>1444</v>
      </c>
      <c r="M33" s="177"/>
      <c r="N33" s="177">
        <f>SUM(L33,M33)</f>
        <v>1444</v>
      </c>
      <c r="O33" s="172"/>
    </row>
    <row r="34" spans="1:15" ht="12.75">
      <c r="A34" s="164" t="s">
        <v>225</v>
      </c>
      <c r="B34" s="165" t="s">
        <v>226</v>
      </c>
      <c r="C34" s="166"/>
      <c r="D34" s="167">
        <v>0</v>
      </c>
      <c r="E34" s="170">
        <f t="shared" si="13"/>
        <v>0</v>
      </c>
      <c r="F34" s="169"/>
      <c r="G34" s="166"/>
      <c r="H34" s="166">
        <v>0</v>
      </c>
      <c r="I34" s="166"/>
      <c r="J34" s="170">
        <f t="shared" si="14"/>
        <v>0</v>
      </c>
      <c r="K34" s="170">
        <f t="shared" si="15"/>
        <v>0</v>
      </c>
      <c r="L34" s="177">
        <f t="shared" si="16"/>
        <v>0</v>
      </c>
      <c r="M34" s="177"/>
      <c r="N34" s="177">
        <f t="shared" si="17"/>
        <v>0</v>
      </c>
      <c r="O34" s="172"/>
    </row>
    <row r="35" spans="1:15" ht="12.75">
      <c r="A35" s="164" t="s">
        <v>160</v>
      </c>
      <c r="B35" s="165" t="s">
        <v>161</v>
      </c>
      <c r="C35" s="166">
        <v>13363</v>
      </c>
      <c r="D35" s="167">
        <v>2274</v>
      </c>
      <c r="E35" s="170">
        <f t="shared" si="13"/>
        <v>15637</v>
      </c>
      <c r="F35" s="169">
        <v>4549</v>
      </c>
      <c r="G35" s="166">
        <v>267</v>
      </c>
      <c r="H35" s="166">
        <v>5810</v>
      </c>
      <c r="I35" s="166"/>
      <c r="J35" s="170">
        <f t="shared" si="14"/>
        <v>5810</v>
      </c>
      <c r="K35" s="170">
        <f t="shared" si="15"/>
        <v>10626</v>
      </c>
      <c r="L35" s="177">
        <f t="shared" si="16"/>
        <v>26263</v>
      </c>
      <c r="M35" s="177">
        <v>3473</v>
      </c>
      <c r="N35" s="177">
        <f t="shared" si="17"/>
        <v>29736</v>
      </c>
      <c r="O35" s="172">
        <v>49.4</v>
      </c>
    </row>
    <row r="36" spans="1:15" ht="12.75">
      <c r="A36" s="164" t="s">
        <v>164</v>
      </c>
      <c r="B36" s="165" t="s">
        <v>165</v>
      </c>
      <c r="C36" s="166"/>
      <c r="D36" s="167">
        <v>766</v>
      </c>
      <c r="E36" s="170">
        <f t="shared" si="13"/>
        <v>766</v>
      </c>
      <c r="F36" s="169"/>
      <c r="G36" s="166"/>
      <c r="H36" s="166">
        <v>2540</v>
      </c>
      <c r="I36" s="166"/>
      <c r="J36" s="170">
        <f t="shared" si="14"/>
        <v>2540</v>
      </c>
      <c r="K36" s="170">
        <f t="shared" si="15"/>
        <v>2540</v>
      </c>
      <c r="L36" s="177">
        <f t="shared" si="16"/>
        <v>3306</v>
      </c>
      <c r="M36" s="177"/>
      <c r="N36" s="177">
        <f t="shared" si="17"/>
        <v>3306</v>
      </c>
      <c r="O36" s="172"/>
    </row>
    <row r="37" spans="1:15" ht="12.75">
      <c r="A37" s="164" t="s">
        <v>162</v>
      </c>
      <c r="B37" s="165" t="s">
        <v>163</v>
      </c>
      <c r="C37" s="166">
        <v>594</v>
      </c>
      <c r="D37" s="167">
        <v>840</v>
      </c>
      <c r="E37" s="170">
        <f t="shared" si="13"/>
        <v>1434</v>
      </c>
      <c r="F37" s="169">
        <v>406</v>
      </c>
      <c r="G37" s="166">
        <v>12</v>
      </c>
      <c r="H37" s="166">
        <v>5718</v>
      </c>
      <c r="I37" s="166"/>
      <c r="J37" s="170">
        <f t="shared" si="14"/>
        <v>5718</v>
      </c>
      <c r="K37" s="170">
        <f t="shared" si="15"/>
        <v>6136</v>
      </c>
      <c r="L37" s="177">
        <f t="shared" si="16"/>
        <v>7570</v>
      </c>
      <c r="M37" s="177">
        <v>7227</v>
      </c>
      <c r="N37" s="177">
        <f t="shared" si="17"/>
        <v>14797</v>
      </c>
      <c r="O37" s="172">
        <v>14</v>
      </c>
    </row>
    <row r="38" spans="1:15" ht="13.5" thickBot="1">
      <c r="A38" s="164" t="s">
        <v>472</v>
      </c>
      <c r="B38" s="165" t="s">
        <v>473</v>
      </c>
      <c r="C38" s="166"/>
      <c r="D38" s="167">
        <v>20</v>
      </c>
      <c r="E38" s="170">
        <f t="shared" si="13"/>
        <v>20</v>
      </c>
      <c r="F38" s="169"/>
      <c r="G38" s="166"/>
      <c r="H38" s="166">
        <v>10</v>
      </c>
      <c r="I38" s="166"/>
      <c r="J38" s="170">
        <f t="shared" si="14"/>
        <v>10</v>
      </c>
      <c r="K38" s="170">
        <f t="shared" si="15"/>
        <v>10</v>
      </c>
      <c r="L38" s="177">
        <f t="shared" si="16"/>
        <v>30</v>
      </c>
      <c r="M38" s="177"/>
      <c r="N38" s="177">
        <f t="shared" si="17"/>
        <v>30</v>
      </c>
      <c r="O38" s="172"/>
    </row>
    <row r="39" spans="1:15" ht="14.25" customHeight="1" thickBot="1">
      <c r="A39" s="179"/>
      <c r="B39" s="180" t="s">
        <v>166</v>
      </c>
      <c r="C39" s="181">
        <f aca="true" t="shared" si="18" ref="C39:O39">SUM(C30:C38)</f>
        <v>35453.023</v>
      </c>
      <c r="D39" s="181">
        <f t="shared" si="18"/>
        <v>12451.516</v>
      </c>
      <c r="E39" s="181">
        <f t="shared" si="18"/>
        <v>47904.539000000004</v>
      </c>
      <c r="F39" s="181">
        <f t="shared" si="18"/>
        <v>13358.144</v>
      </c>
      <c r="G39" s="181">
        <f t="shared" si="18"/>
        <v>692.764</v>
      </c>
      <c r="H39" s="181">
        <f t="shared" si="18"/>
        <v>33699.084</v>
      </c>
      <c r="I39" s="181">
        <f t="shared" si="18"/>
        <v>402</v>
      </c>
      <c r="J39" s="181">
        <f t="shared" si="18"/>
        <v>34101.084</v>
      </c>
      <c r="K39" s="181">
        <f t="shared" si="18"/>
        <v>48151.992</v>
      </c>
      <c r="L39" s="181">
        <f t="shared" si="18"/>
        <v>96056.531</v>
      </c>
      <c r="M39" s="181">
        <f t="shared" si="18"/>
        <v>10700</v>
      </c>
      <c r="N39" s="181">
        <f t="shared" si="18"/>
        <v>106756.531</v>
      </c>
      <c r="O39" s="182">
        <f t="shared" si="18"/>
        <v>104.4</v>
      </c>
    </row>
    <row r="40" spans="1:19" s="142" customFormat="1" ht="13.5" thickBot="1">
      <c r="A40" s="232"/>
      <c r="B40" s="233" t="s">
        <v>438</v>
      </c>
      <c r="C40" s="272"/>
      <c r="D40" s="273"/>
      <c r="E40" s="234">
        <f>SUM(C40:D40)</f>
        <v>0</v>
      </c>
      <c r="F40" s="272"/>
      <c r="G40" s="274"/>
      <c r="H40" s="274">
        <f>ESF!H39+ESF!H42</f>
        <v>17100.411</v>
      </c>
      <c r="I40" s="273"/>
      <c r="J40" s="234">
        <f>SUM(H40:I40)</f>
        <v>17100.411</v>
      </c>
      <c r="K40" s="234">
        <f>SUM(F40,G40,J40)</f>
        <v>17100.411</v>
      </c>
      <c r="L40" s="234">
        <f>SUM(E40,K40)</f>
        <v>17100.411</v>
      </c>
      <c r="M40" s="234"/>
      <c r="N40" s="234">
        <f>SUM(L40,M40)</f>
        <v>17100.411</v>
      </c>
      <c r="O40" s="235"/>
      <c r="P40"/>
      <c r="Q40"/>
      <c r="R40"/>
      <c r="S40"/>
    </row>
    <row r="41" spans="1:15" ht="25.5">
      <c r="A41" s="173" t="s">
        <v>474</v>
      </c>
      <c r="B41" s="174" t="s">
        <v>475</v>
      </c>
      <c r="C41" s="86"/>
      <c r="D41" s="175">
        <v>29</v>
      </c>
      <c r="E41" s="170">
        <f aca="true" t="shared" si="19" ref="E41:E46">SUM(C41:D41)</f>
        <v>29</v>
      </c>
      <c r="F41" s="101"/>
      <c r="G41" s="86"/>
      <c r="H41" s="86">
        <v>101</v>
      </c>
      <c r="I41" s="86"/>
      <c r="J41" s="170">
        <f aca="true" t="shared" si="20" ref="J41:J46">SUM(H41:I41)</f>
        <v>101</v>
      </c>
      <c r="K41" s="170">
        <f aca="true" t="shared" si="21" ref="K41:K46">SUM(F41,G41,J41)</f>
        <v>101</v>
      </c>
      <c r="L41" s="177">
        <f aca="true" t="shared" si="22" ref="L41:L46">SUM(E41,K41)</f>
        <v>130</v>
      </c>
      <c r="M41" s="177"/>
      <c r="N41" s="177">
        <f aca="true" t="shared" si="23" ref="N41:N46">SUM(L41,M41)</f>
        <v>130</v>
      </c>
      <c r="O41" s="178"/>
    </row>
    <row r="42" spans="1:15" ht="12.75">
      <c r="A42" s="173" t="s">
        <v>167</v>
      </c>
      <c r="B42" s="174" t="s">
        <v>228</v>
      </c>
      <c r="C42" s="86">
        <v>40955</v>
      </c>
      <c r="D42" s="175">
        <v>480</v>
      </c>
      <c r="E42" s="170">
        <f t="shared" si="19"/>
        <v>41435</v>
      </c>
      <c r="F42" s="101">
        <v>13908</v>
      </c>
      <c r="G42" s="86">
        <v>818</v>
      </c>
      <c r="H42" s="86">
        <v>71219</v>
      </c>
      <c r="I42" s="86"/>
      <c r="J42" s="170">
        <f t="shared" si="20"/>
        <v>71219</v>
      </c>
      <c r="K42" s="170">
        <f t="shared" si="21"/>
        <v>85945</v>
      </c>
      <c r="L42" s="177">
        <f t="shared" si="22"/>
        <v>127380</v>
      </c>
      <c r="M42" s="177">
        <v>11844</v>
      </c>
      <c r="N42" s="177">
        <f t="shared" si="23"/>
        <v>139224</v>
      </c>
      <c r="O42" s="178">
        <v>168.17</v>
      </c>
    </row>
    <row r="43" spans="1:15" ht="12.75">
      <c r="A43" s="173" t="s">
        <v>227</v>
      </c>
      <c r="B43" s="174" t="s">
        <v>229</v>
      </c>
      <c r="C43" s="86"/>
      <c r="D43" s="175"/>
      <c r="E43" s="170">
        <f t="shared" si="19"/>
        <v>0</v>
      </c>
      <c r="F43" s="101"/>
      <c r="G43" s="86"/>
      <c r="H43" s="86"/>
      <c r="I43" s="86"/>
      <c r="J43" s="170">
        <f t="shared" si="20"/>
        <v>0</v>
      </c>
      <c r="K43" s="170">
        <f t="shared" si="21"/>
        <v>0</v>
      </c>
      <c r="L43" s="177">
        <f t="shared" si="22"/>
        <v>0</v>
      </c>
      <c r="M43" s="177"/>
      <c r="N43" s="177">
        <f t="shared" si="23"/>
        <v>0</v>
      </c>
      <c r="O43" s="178"/>
    </row>
    <row r="44" spans="1:15" ht="12.75">
      <c r="A44" s="173" t="s">
        <v>168</v>
      </c>
      <c r="B44" s="174" t="s">
        <v>230</v>
      </c>
      <c r="C44" s="86"/>
      <c r="D44" s="175"/>
      <c r="E44" s="170">
        <f t="shared" si="19"/>
        <v>0</v>
      </c>
      <c r="F44" s="101"/>
      <c r="G44" s="86"/>
      <c r="H44" s="86">
        <v>43339</v>
      </c>
      <c r="I44" s="86"/>
      <c r="J44" s="170">
        <f t="shared" si="20"/>
        <v>43339</v>
      </c>
      <c r="K44" s="170">
        <f t="shared" si="21"/>
        <v>43339</v>
      </c>
      <c r="L44" s="177">
        <f t="shared" si="22"/>
        <v>43339</v>
      </c>
      <c r="M44" s="177"/>
      <c r="N44" s="177">
        <f t="shared" si="23"/>
        <v>43339</v>
      </c>
      <c r="O44" s="178"/>
    </row>
    <row r="45" spans="1:15" ht="12.75">
      <c r="A45" s="173" t="s">
        <v>169</v>
      </c>
      <c r="B45" s="174" t="s">
        <v>483</v>
      </c>
      <c r="C45" s="86">
        <v>61</v>
      </c>
      <c r="D45" s="175">
        <v>32</v>
      </c>
      <c r="E45" s="170">
        <f t="shared" si="19"/>
        <v>93</v>
      </c>
      <c r="F45" s="101">
        <v>20</v>
      </c>
      <c r="G45" s="86"/>
      <c r="H45" s="86">
        <v>266</v>
      </c>
      <c r="I45" s="86"/>
      <c r="J45" s="170">
        <f t="shared" si="20"/>
        <v>266</v>
      </c>
      <c r="K45" s="170">
        <f t="shared" si="21"/>
        <v>286</v>
      </c>
      <c r="L45" s="177">
        <f t="shared" si="22"/>
        <v>379</v>
      </c>
      <c r="M45" s="177"/>
      <c r="N45" s="177">
        <f t="shared" si="23"/>
        <v>379</v>
      </c>
      <c r="O45" s="178"/>
    </row>
    <row r="46" spans="1:15" ht="26.25" thickBot="1">
      <c r="A46" s="164" t="s">
        <v>476</v>
      </c>
      <c r="B46" s="165" t="s">
        <v>486</v>
      </c>
      <c r="C46" s="166">
        <v>96</v>
      </c>
      <c r="D46" s="167"/>
      <c r="E46" s="168">
        <f t="shared" si="19"/>
        <v>96</v>
      </c>
      <c r="F46" s="169">
        <v>34</v>
      </c>
      <c r="G46" s="166"/>
      <c r="H46" s="166">
        <v>73652</v>
      </c>
      <c r="I46" s="166"/>
      <c r="J46" s="168">
        <f t="shared" si="20"/>
        <v>73652</v>
      </c>
      <c r="K46" s="168">
        <f t="shared" si="21"/>
        <v>73686</v>
      </c>
      <c r="L46" s="171">
        <f t="shared" si="22"/>
        <v>73782</v>
      </c>
      <c r="M46" s="171"/>
      <c r="N46" s="171">
        <f t="shared" si="23"/>
        <v>73782</v>
      </c>
      <c r="O46" s="172"/>
    </row>
    <row r="47" spans="1:15" ht="14.25" customHeight="1" thickBot="1">
      <c r="A47" s="179"/>
      <c r="B47" s="180" t="s">
        <v>224</v>
      </c>
      <c r="C47" s="183">
        <f aca="true" t="shared" si="24" ref="C47:O47">SUM(C40:C46)</f>
        <v>41112</v>
      </c>
      <c r="D47" s="185">
        <f t="shared" si="24"/>
        <v>541</v>
      </c>
      <c r="E47" s="181">
        <f t="shared" si="24"/>
        <v>41653</v>
      </c>
      <c r="F47" s="186">
        <f t="shared" si="24"/>
        <v>13962</v>
      </c>
      <c r="G47" s="183">
        <f t="shared" si="24"/>
        <v>818</v>
      </c>
      <c r="H47" s="183">
        <f t="shared" si="24"/>
        <v>205677.411</v>
      </c>
      <c r="I47" s="183">
        <f t="shared" si="24"/>
        <v>0</v>
      </c>
      <c r="J47" s="181">
        <f t="shared" si="24"/>
        <v>205677.411</v>
      </c>
      <c r="K47" s="181">
        <f t="shared" si="24"/>
        <v>220457.411</v>
      </c>
      <c r="L47" s="181">
        <f t="shared" si="24"/>
        <v>262110.411</v>
      </c>
      <c r="M47" s="181">
        <f t="shared" si="24"/>
        <v>11844</v>
      </c>
      <c r="N47" s="181">
        <f t="shared" si="24"/>
        <v>273954.41099999996</v>
      </c>
      <c r="O47" s="182">
        <f t="shared" si="24"/>
        <v>168.17</v>
      </c>
    </row>
    <row r="48" spans="1:15" ht="12.75">
      <c r="A48" s="164" t="s">
        <v>170</v>
      </c>
      <c r="B48" s="165" t="s">
        <v>171</v>
      </c>
      <c r="C48" s="190"/>
      <c r="D48" s="191"/>
      <c r="E48" s="192">
        <f>SUM(C48:D48)</f>
        <v>0</v>
      </c>
      <c r="F48" s="193"/>
      <c r="G48" s="190"/>
      <c r="H48" s="166">
        <v>7046</v>
      </c>
      <c r="I48" s="166"/>
      <c r="J48" s="168">
        <f>SUM(H48:I48)</f>
        <v>7046</v>
      </c>
      <c r="K48" s="168">
        <f>SUM(F48,G48,J48)</f>
        <v>7046</v>
      </c>
      <c r="L48" s="194">
        <f>SUM(E48,K48)</f>
        <v>7046</v>
      </c>
      <c r="M48" s="194">
        <v>102</v>
      </c>
      <c r="N48" s="194">
        <f>SUM(L48,M48)</f>
        <v>7148</v>
      </c>
      <c r="O48" s="195"/>
    </row>
    <row r="49" spans="1:15" ht="13.5" thickBot="1">
      <c r="A49" s="164" t="s">
        <v>204</v>
      </c>
      <c r="B49" s="174" t="s">
        <v>485</v>
      </c>
      <c r="C49" s="86"/>
      <c r="D49" s="175"/>
      <c r="E49" s="170">
        <f>SUM(C49:D49)</f>
        <v>0</v>
      </c>
      <c r="F49" s="101"/>
      <c r="G49" s="86"/>
      <c r="H49" s="86">
        <v>5500</v>
      </c>
      <c r="I49" s="86"/>
      <c r="J49" s="170">
        <f>SUM(H49:I49)</f>
        <v>5500</v>
      </c>
      <c r="K49" s="170">
        <f>SUM(F49,G49,J49)</f>
        <v>5500</v>
      </c>
      <c r="L49" s="177">
        <f>SUM(E49,K49)</f>
        <v>5500</v>
      </c>
      <c r="M49" s="177"/>
      <c r="N49" s="177">
        <f>SUM(L49,M49)</f>
        <v>5500</v>
      </c>
      <c r="O49" s="178"/>
    </row>
    <row r="50" spans="1:15" ht="15" customHeight="1" thickBot="1">
      <c r="A50" s="179"/>
      <c r="B50" s="180" t="s">
        <v>172</v>
      </c>
      <c r="C50" s="183">
        <f aca="true" t="shared" si="25" ref="C50:O50">SUM(C48:C49)</f>
        <v>0</v>
      </c>
      <c r="D50" s="185">
        <f t="shared" si="25"/>
        <v>0</v>
      </c>
      <c r="E50" s="181">
        <f t="shared" si="25"/>
        <v>0</v>
      </c>
      <c r="F50" s="186">
        <f t="shared" si="25"/>
        <v>0</v>
      </c>
      <c r="G50" s="183">
        <f t="shared" si="25"/>
        <v>0</v>
      </c>
      <c r="H50" s="183">
        <f t="shared" si="25"/>
        <v>12546</v>
      </c>
      <c r="I50" s="183">
        <f t="shared" si="25"/>
        <v>0</v>
      </c>
      <c r="J50" s="181">
        <f t="shared" si="25"/>
        <v>12546</v>
      </c>
      <c r="K50" s="181">
        <f t="shared" si="25"/>
        <v>12546</v>
      </c>
      <c r="L50" s="181">
        <f t="shared" si="25"/>
        <v>12546</v>
      </c>
      <c r="M50" s="181">
        <f t="shared" si="25"/>
        <v>102</v>
      </c>
      <c r="N50" s="181">
        <f t="shared" si="25"/>
        <v>12648</v>
      </c>
      <c r="O50" s="182">
        <f t="shared" si="25"/>
        <v>0</v>
      </c>
    </row>
    <row r="51" spans="1:19" s="142" customFormat="1" ht="13.5" thickBot="1">
      <c r="A51" s="232"/>
      <c r="B51" s="233" t="s">
        <v>217</v>
      </c>
      <c r="C51" s="272">
        <f>ESF!C46+ESF!C49</f>
        <v>35876.808999999994</v>
      </c>
      <c r="D51" s="273">
        <f>ESF!D46+ESF!D49</f>
        <v>30006.808999999997</v>
      </c>
      <c r="E51" s="234">
        <f>SUM(C51:D51)</f>
        <v>65883.61799999999</v>
      </c>
      <c r="F51" s="272">
        <f>ESF!F46+ESF!F49</f>
        <v>13840.462</v>
      </c>
      <c r="G51" s="274">
        <f>ESF!G46+ESF!G49</f>
        <v>718.551</v>
      </c>
      <c r="H51" s="274">
        <f>ESF!H46+ESF!H49</f>
        <v>81836.559</v>
      </c>
      <c r="I51" s="273"/>
      <c r="J51" s="234">
        <f>SUM(H51:I51)</f>
        <v>81836.559</v>
      </c>
      <c r="K51" s="234">
        <f>SUM(F51,G51,J51)</f>
        <v>96395.57199999999</v>
      </c>
      <c r="L51" s="234">
        <f>SUM(E51,K51)</f>
        <v>162279.18999999997</v>
      </c>
      <c r="M51" s="234"/>
      <c r="N51" s="234">
        <f>SUM(L51,M51)</f>
        <v>162279.18999999997</v>
      </c>
      <c r="O51" s="235">
        <f>ESF!O46+ESF!O49</f>
        <v>53.3</v>
      </c>
      <c r="P51"/>
      <c r="Q51"/>
      <c r="R51"/>
      <c r="S51"/>
    </row>
    <row r="52" spans="1:15" ht="12.75">
      <c r="A52" s="173" t="s">
        <v>232</v>
      </c>
      <c r="B52" s="174" t="s">
        <v>233</v>
      </c>
      <c r="C52" s="101">
        <v>21264</v>
      </c>
      <c r="D52" s="175">
        <v>1037</v>
      </c>
      <c r="E52" s="170">
        <f>SUM(C52:D52)</f>
        <v>22301</v>
      </c>
      <c r="F52" s="101">
        <v>7434</v>
      </c>
      <c r="G52" s="86">
        <v>425</v>
      </c>
      <c r="H52" s="86">
        <v>57778</v>
      </c>
      <c r="I52" s="176"/>
      <c r="J52" s="170">
        <f>SUM(H52:I52)</f>
        <v>57778</v>
      </c>
      <c r="K52" s="170">
        <f>SUM(F52,G52,J52)</f>
        <v>65637</v>
      </c>
      <c r="L52" s="177">
        <f>SUM(E52,K52)</f>
        <v>87938</v>
      </c>
      <c r="M52" s="177">
        <v>500</v>
      </c>
      <c r="N52" s="177">
        <f>SUM(L52,M52)</f>
        <v>88438</v>
      </c>
      <c r="O52" s="178">
        <v>64</v>
      </c>
    </row>
    <row r="53" spans="1:15" ht="12.75">
      <c r="A53" s="173" t="s">
        <v>234</v>
      </c>
      <c r="B53" s="174" t="s">
        <v>235</v>
      </c>
      <c r="C53" s="101"/>
      <c r="D53" s="175">
        <v>0</v>
      </c>
      <c r="E53" s="170">
        <f>SUM(C53:D53)</f>
        <v>0</v>
      </c>
      <c r="F53" s="101"/>
      <c r="G53" s="86"/>
      <c r="H53" s="86">
        <v>42333</v>
      </c>
      <c r="I53" s="176"/>
      <c r="J53" s="170">
        <f>SUM(H53:I53)</f>
        <v>42333</v>
      </c>
      <c r="K53" s="170">
        <f>SUM(F53,G53,J53)</f>
        <v>42333</v>
      </c>
      <c r="L53" s="177">
        <f>SUM(E53,K53)</f>
        <v>42333</v>
      </c>
      <c r="M53" s="177"/>
      <c r="N53" s="177">
        <f>SUM(L53,M53)</f>
        <v>42333</v>
      </c>
      <c r="O53" s="178"/>
    </row>
    <row r="54" spans="1:15" ht="13.5" thickBot="1">
      <c r="A54" s="173" t="s">
        <v>477</v>
      </c>
      <c r="B54" s="174" t="s">
        <v>478</v>
      </c>
      <c r="C54" s="101"/>
      <c r="D54" s="175">
        <v>2579</v>
      </c>
      <c r="E54" s="170">
        <f>SUM(C54:D54)</f>
        <v>2579</v>
      </c>
      <c r="F54" s="101">
        <v>250</v>
      </c>
      <c r="G54" s="86"/>
      <c r="H54" s="86">
        <v>58407</v>
      </c>
      <c r="I54" s="176"/>
      <c r="J54" s="170">
        <f>SUM(H54:I54)</f>
        <v>58407</v>
      </c>
      <c r="K54" s="170">
        <f>SUM(F54,G54,J54)</f>
        <v>58657</v>
      </c>
      <c r="L54" s="177">
        <f>SUM(E54,K54)</f>
        <v>61236</v>
      </c>
      <c r="M54" s="177"/>
      <c r="N54" s="177">
        <f>SUM(L54,M54)</f>
        <v>61236</v>
      </c>
      <c r="O54" s="178"/>
    </row>
    <row r="55" spans="1:15" ht="14.25" customHeight="1" thickBot="1">
      <c r="A55" s="179"/>
      <c r="B55" s="180" t="s">
        <v>218</v>
      </c>
      <c r="C55" s="186">
        <f aca="true" t="shared" si="26" ref="C55:O55">SUM(C51:C54)</f>
        <v>57140.808999999994</v>
      </c>
      <c r="D55" s="185">
        <f t="shared" si="26"/>
        <v>33622.808999999994</v>
      </c>
      <c r="E55" s="181">
        <f t="shared" si="26"/>
        <v>90763.61799999999</v>
      </c>
      <c r="F55" s="186">
        <f t="shared" si="26"/>
        <v>21524.462</v>
      </c>
      <c r="G55" s="183">
        <f t="shared" si="26"/>
        <v>1143.551</v>
      </c>
      <c r="H55" s="183">
        <f t="shared" si="26"/>
        <v>240354.559</v>
      </c>
      <c r="I55" s="183">
        <f t="shared" si="26"/>
        <v>0</v>
      </c>
      <c r="J55" s="181">
        <f t="shared" si="26"/>
        <v>240354.559</v>
      </c>
      <c r="K55" s="181">
        <f t="shared" si="26"/>
        <v>263022.572</v>
      </c>
      <c r="L55" s="181">
        <f t="shared" si="26"/>
        <v>353786.18999999994</v>
      </c>
      <c r="M55" s="181">
        <f t="shared" si="26"/>
        <v>500</v>
      </c>
      <c r="N55" s="181">
        <f t="shared" si="26"/>
        <v>354286.18999999994</v>
      </c>
      <c r="O55" s="182">
        <f t="shared" si="26"/>
        <v>117.3</v>
      </c>
    </row>
    <row r="56" spans="1:15" ht="14.25" customHeight="1">
      <c r="A56" s="556" t="s">
        <v>479</v>
      </c>
      <c r="B56" s="557" t="s">
        <v>480</v>
      </c>
      <c r="C56" s="553"/>
      <c r="D56" s="554">
        <v>64</v>
      </c>
      <c r="E56" s="170">
        <f>SUM(C56:D56)</f>
        <v>64</v>
      </c>
      <c r="F56" s="101"/>
      <c r="G56" s="86"/>
      <c r="H56" s="86">
        <v>27</v>
      </c>
      <c r="I56" s="86"/>
      <c r="J56" s="170">
        <f>SUM(H56:I56)</f>
        <v>27</v>
      </c>
      <c r="K56" s="170">
        <f>SUM(F56,G56,J56)</f>
        <v>27</v>
      </c>
      <c r="L56" s="177">
        <f>SUM(E56,K56)</f>
        <v>91</v>
      </c>
      <c r="M56" s="177"/>
      <c r="N56" s="177">
        <f>SUM(L56,M56)</f>
        <v>91</v>
      </c>
      <c r="O56" s="555"/>
    </row>
    <row r="57" spans="1:15" ht="14.25" customHeight="1">
      <c r="A57" s="558" t="s">
        <v>173</v>
      </c>
      <c r="B57" s="559" t="s">
        <v>174</v>
      </c>
      <c r="C57" s="550">
        <v>1491</v>
      </c>
      <c r="D57" s="551">
        <v>989</v>
      </c>
      <c r="E57" s="170">
        <f>SUM(C57:D57)</f>
        <v>2480</v>
      </c>
      <c r="F57" s="101">
        <v>773</v>
      </c>
      <c r="G57" s="86">
        <v>31</v>
      </c>
      <c r="H57" s="86">
        <v>1708</v>
      </c>
      <c r="I57" s="86"/>
      <c r="J57" s="170">
        <f>SUM(H57:I57)</f>
        <v>1708</v>
      </c>
      <c r="K57" s="170">
        <f>SUM(F57,G57,J57)</f>
        <v>2512</v>
      </c>
      <c r="L57" s="177">
        <f>SUM(E57,K57)</f>
        <v>4992</v>
      </c>
      <c r="M57" s="177">
        <v>860</v>
      </c>
      <c r="N57" s="177">
        <f>SUM(L57,M57)</f>
        <v>5852</v>
      </c>
      <c r="O57" s="552">
        <v>5.66</v>
      </c>
    </row>
    <row r="58" spans="1:15" ht="14.25" customHeight="1" thickBot="1">
      <c r="A58" s="560" t="s">
        <v>481</v>
      </c>
      <c r="B58" s="561" t="s">
        <v>482</v>
      </c>
      <c r="C58" s="86"/>
      <c r="D58" s="175">
        <v>345</v>
      </c>
      <c r="E58" s="170">
        <f>SUM(C58:D58)</f>
        <v>345</v>
      </c>
      <c r="F58" s="101"/>
      <c r="G58" s="86"/>
      <c r="H58" s="86"/>
      <c r="I58" s="86"/>
      <c r="J58" s="170">
        <f>SUM(H58:I58)</f>
        <v>0</v>
      </c>
      <c r="K58" s="170">
        <f>SUM(F58,G58,J58)</f>
        <v>0</v>
      </c>
      <c r="L58" s="177">
        <f>SUM(E58,K58)</f>
        <v>345</v>
      </c>
      <c r="M58" s="177"/>
      <c r="N58" s="177">
        <f>SUM(L58,M58)</f>
        <v>345</v>
      </c>
      <c r="O58" s="178"/>
    </row>
    <row r="59" spans="1:15" ht="14.25" customHeight="1" thickBot="1">
      <c r="A59" s="179"/>
      <c r="B59" s="180" t="s">
        <v>175</v>
      </c>
      <c r="C59" s="183">
        <f aca="true" t="shared" si="27" ref="C59:O59">SUM(C56:C58)</f>
        <v>1491</v>
      </c>
      <c r="D59" s="185">
        <f t="shared" si="27"/>
        <v>1398</v>
      </c>
      <c r="E59" s="181">
        <f t="shared" si="27"/>
        <v>2889</v>
      </c>
      <c r="F59" s="186">
        <f t="shared" si="27"/>
        <v>773</v>
      </c>
      <c r="G59" s="183">
        <f t="shared" si="27"/>
        <v>31</v>
      </c>
      <c r="H59" s="183">
        <f t="shared" si="27"/>
        <v>1735</v>
      </c>
      <c r="I59" s="183">
        <f t="shared" si="27"/>
        <v>0</v>
      </c>
      <c r="J59" s="181">
        <f t="shared" si="27"/>
        <v>1735</v>
      </c>
      <c r="K59" s="181">
        <f t="shared" si="27"/>
        <v>2539</v>
      </c>
      <c r="L59" s="181">
        <f t="shared" si="27"/>
        <v>5428</v>
      </c>
      <c r="M59" s="181">
        <f t="shared" si="27"/>
        <v>860</v>
      </c>
      <c r="N59" s="181">
        <f t="shared" si="27"/>
        <v>6288</v>
      </c>
      <c r="O59" s="182">
        <f t="shared" si="27"/>
        <v>5.66</v>
      </c>
    </row>
    <row r="60" spans="1:19" s="146" customFormat="1" ht="13.5" thickBot="1">
      <c r="A60" s="196" t="s">
        <v>176</v>
      </c>
      <c r="B60" s="197" t="s">
        <v>236</v>
      </c>
      <c r="C60" s="198">
        <v>2385</v>
      </c>
      <c r="D60" s="199">
        <v>455</v>
      </c>
      <c r="E60" s="200">
        <f>SUM(C60:D60)</f>
        <v>2840</v>
      </c>
      <c r="F60" s="201">
        <v>820</v>
      </c>
      <c r="G60" s="198">
        <v>48</v>
      </c>
      <c r="H60" s="198">
        <v>8716</v>
      </c>
      <c r="I60" s="198"/>
      <c r="J60" s="200">
        <f>SUM(H60:I60)</f>
        <v>8716</v>
      </c>
      <c r="K60" s="200">
        <f>SUM(F60,G60,J60)</f>
        <v>9584</v>
      </c>
      <c r="L60" s="200">
        <f>SUM(E60,K60)</f>
        <v>12424</v>
      </c>
      <c r="M60" s="200">
        <v>850</v>
      </c>
      <c r="N60" s="200">
        <f>SUM(L60,M60)</f>
        <v>13274</v>
      </c>
      <c r="O60" s="202">
        <v>6</v>
      </c>
      <c r="P60"/>
      <c r="Q60"/>
      <c r="R60"/>
      <c r="S60"/>
    </row>
    <row r="61" spans="1:15" ht="14.25" customHeight="1" thickBot="1">
      <c r="A61" s="179"/>
      <c r="B61" s="180" t="s">
        <v>177</v>
      </c>
      <c r="C61" s="183">
        <f aca="true" t="shared" si="28" ref="C61:L61">SUM(C60:C60)</f>
        <v>2385</v>
      </c>
      <c r="D61" s="185">
        <f t="shared" si="28"/>
        <v>455</v>
      </c>
      <c r="E61" s="181">
        <f t="shared" si="28"/>
        <v>2840</v>
      </c>
      <c r="F61" s="186">
        <f t="shared" si="28"/>
        <v>820</v>
      </c>
      <c r="G61" s="183">
        <f t="shared" si="28"/>
        <v>48</v>
      </c>
      <c r="H61" s="183">
        <f t="shared" si="28"/>
        <v>8716</v>
      </c>
      <c r="I61" s="183">
        <f t="shared" si="28"/>
        <v>0</v>
      </c>
      <c r="J61" s="181">
        <f t="shared" si="28"/>
        <v>8716</v>
      </c>
      <c r="K61" s="181">
        <f t="shared" si="28"/>
        <v>9584</v>
      </c>
      <c r="L61" s="181">
        <f t="shared" si="28"/>
        <v>12424</v>
      </c>
      <c r="M61" s="181">
        <f>SUM(M60:M60)</f>
        <v>850</v>
      </c>
      <c r="N61" s="181">
        <f>SUM(N60:N60)</f>
        <v>13274</v>
      </c>
      <c r="O61" s="182">
        <f>SUM(O60:O60)</f>
        <v>6</v>
      </c>
    </row>
    <row r="62" spans="1:15" ht="27.75" customHeight="1" thickBot="1">
      <c r="A62" s="203"/>
      <c r="B62" s="204" t="s">
        <v>178</v>
      </c>
      <c r="C62" s="205">
        <f aca="true" t="shared" si="29" ref="C62:O62">C16+C25+C29+C39+C47+C50+C55+C59+C61</f>
        <v>223791.314</v>
      </c>
      <c r="D62" s="205">
        <f t="shared" si="29"/>
        <v>60914.77799999999</v>
      </c>
      <c r="E62" s="205">
        <f t="shared" si="29"/>
        <v>284706.09199999995</v>
      </c>
      <c r="F62" s="205">
        <f t="shared" si="29"/>
        <v>81651.808</v>
      </c>
      <c r="G62" s="205">
        <f t="shared" si="29"/>
        <v>4453.473</v>
      </c>
      <c r="H62" s="205">
        <f t="shared" si="29"/>
        <v>614311.039</v>
      </c>
      <c r="I62" s="205">
        <f t="shared" si="29"/>
        <v>402</v>
      </c>
      <c r="J62" s="205">
        <f t="shared" si="29"/>
        <v>614713.039</v>
      </c>
      <c r="K62" s="205">
        <f t="shared" si="29"/>
        <v>700818.3200000001</v>
      </c>
      <c r="L62" s="205">
        <f t="shared" si="29"/>
        <v>985524.4119999999</v>
      </c>
      <c r="M62" s="205">
        <f t="shared" si="29"/>
        <v>78198</v>
      </c>
      <c r="N62" s="205">
        <f t="shared" si="29"/>
        <v>1063722.412</v>
      </c>
      <c r="O62" s="206">
        <f t="shared" si="29"/>
        <v>691.9599999999999</v>
      </c>
    </row>
    <row r="64" spans="1:14" ht="29.25" customHeight="1">
      <c r="A64" s="603" t="s">
        <v>497</v>
      </c>
      <c r="B64" s="603"/>
      <c r="C64" s="603"/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3"/>
    </row>
  </sheetData>
  <sheetProtection/>
  <mergeCells count="1">
    <mergeCell ref="A64:N64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229"/>
  <sheetViews>
    <sheetView zoomScale="80" zoomScaleNormal="80" zoomScalePageLayoutView="0" workbookViewId="0" topLeftCell="A13">
      <selection activeCell="N42" sqref="N42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7.8515625" style="1" customWidth="1"/>
    <col min="4" max="4" width="13.140625" style="1" customWidth="1"/>
    <col min="5" max="5" width="12.28125" style="1" customWidth="1"/>
    <col min="6" max="6" width="11.421875" style="1" customWidth="1"/>
    <col min="7" max="7" width="11.00390625" style="1" customWidth="1"/>
    <col min="8" max="8" width="11.57421875" style="1" customWidth="1"/>
    <col min="9" max="9" width="11.8515625" style="1" customWidth="1"/>
    <col min="10" max="16384" width="9.140625" style="1" customWidth="1"/>
  </cols>
  <sheetData>
    <row r="1" spans="8:9" ht="15.75">
      <c r="H1" s="2" t="s">
        <v>119</v>
      </c>
      <c r="I1" s="26"/>
    </row>
    <row r="2" ht="15.75">
      <c r="B2" s="3" t="s">
        <v>26</v>
      </c>
    </row>
    <row r="3" ht="13.5" thickBot="1">
      <c r="H3" s="4" t="s">
        <v>1</v>
      </c>
    </row>
    <row r="4" spans="2:11" ht="43.5" customHeight="1" thickBot="1">
      <c r="B4" s="5" t="s">
        <v>3</v>
      </c>
      <c r="C4" s="249" t="s">
        <v>19</v>
      </c>
      <c r="D4" s="250" t="s">
        <v>238</v>
      </c>
      <c r="E4" s="6" t="s">
        <v>250</v>
      </c>
      <c r="F4" s="58" t="s">
        <v>208</v>
      </c>
      <c r="G4" s="5" t="s">
        <v>27</v>
      </c>
      <c r="H4" s="5" t="s">
        <v>251</v>
      </c>
      <c r="I4" s="249" t="s">
        <v>252</v>
      </c>
      <c r="J4" s="7"/>
      <c r="K4" s="7"/>
    </row>
    <row r="5" spans="2:9" ht="12.75">
      <c r="B5" s="34"/>
      <c r="C5" s="59"/>
      <c r="D5" s="60"/>
      <c r="E5" s="9">
        <v>1</v>
      </c>
      <c r="F5" s="61">
        <v>2</v>
      </c>
      <c r="G5" s="8">
        <v>3</v>
      </c>
      <c r="H5" s="61">
        <v>4</v>
      </c>
      <c r="I5" s="8">
        <v>5</v>
      </c>
    </row>
    <row r="6" spans="2:11" ht="12.75">
      <c r="B6" s="52" t="s">
        <v>4</v>
      </c>
      <c r="C6" s="220">
        <v>911</v>
      </c>
      <c r="D6" s="62">
        <v>159.68792</v>
      </c>
      <c r="E6" s="62">
        <v>583.56003</v>
      </c>
      <c r="F6" s="207"/>
      <c r="G6" s="209"/>
      <c r="H6" s="13">
        <f aca="true" t="shared" si="0" ref="H6:H14">E6+F6-G6</f>
        <v>583.56003</v>
      </c>
      <c r="I6" s="14">
        <f aca="true" t="shared" si="1" ref="I6:I14">H6-E6</f>
        <v>0</v>
      </c>
      <c r="K6" s="10"/>
    </row>
    <row r="7" spans="2:254" s="42" customFormat="1" ht="12.75">
      <c r="B7" s="217" t="s">
        <v>5</v>
      </c>
      <c r="C7" s="221">
        <v>911</v>
      </c>
      <c r="D7" s="63">
        <v>1014.55237</v>
      </c>
      <c r="E7" s="40">
        <v>2014.55237</v>
      </c>
      <c r="F7" s="40"/>
      <c r="G7" s="40">
        <v>600.155</v>
      </c>
      <c r="H7" s="40">
        <f t="shared" si="0"/>
        <v>1414.3973700000001</v>
      </c>
      <c r="I7" s="64">
        <f t="shared" si="1"/>
        <v>-600.155</v>
      </c>
      <c r="J7" s="1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2:254" s="42" customFormat="1" ht="12.75">
      <c r="B8" s="217" t="s">
        <v>6</v>
      </c>
      <c r="C8" s="221">
        <v>911</v>
      </c>
      <c r="D8" s="63"/>
      <c r="E8" s="63"/>
      <c r="F8" s="208">
        <v>100</v>
      </c>
      <c r="G8" s="40">
        <v>100</v>
      </c>
      <c r="H8" s="65">
        <f t="shared" si="0"/>
        <v>0</v>
      </c>
      <c r="I8" s="66">
        <f t="shared" si="1"/>
        <v>0</v>
      </c>
      <c r="J8" s="1"/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2:254" s="42" customFormat="1" ht="12.75">
      <c r="B9" s="217" t="s">
        <v>7</v>
      </c>
      <c r="C9" s="221">
        <v>911</v>
      </c>
      <c r="D9" s="63">
        <v>160.606</v>
      </c>
      <c r="E9" s="63">
        <v>115.03723</v>
      </c>
      <c r="F9" s="208">
        <v>359.106</v>
      </c>
      <c r="G9" s="40"/>
      <c r="H9" s="40">
        <f t="shared" si="0"/>
        <v>474.14323</v>
      </c>
      <c r="I9" s="64">
        <f t="shared" si="1"/>
        <v>359.106</v>
      </c>
      <c r="J9" s="1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2:254" s="42" customFormat="1" ht="12.75">
      <c r="B10" s="11" t="s">
        <v>213</v>
      </c>
      <c r="C10" s="221">
        <v>911</v>
      </c>
      <c r="D10" s="63">
        <v>220.47094</v>
      </c>
      <c r="E10" s="63">
        <v>701.5055</v>
      </c>
      <c r="F10" s="208">
        <v>1210</v>
      </c>
      <c r="G10" s="40">
        <v>1657.841</v>
      </c>
      <c r="H10" s="40">
        <f t="shared" si="0"/>
        <v>253.6645000000001</v>
      </c>
      <c r="I10" s="64">
        <f t="shared" si="1"/>
        <v>-447.8409999999999</v>
      </c>
      <c r="J10" s="1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2:254" s="42" customFormat="1" ht="12.75">
      <c r="B11" s="218" t="s">
        <v>8</v>
      </c>
      <c r="C11" s="221">
        <v>911</v>
      </c>
      <c r="D11" s="63"/>
      <c r="E11" s="63"/>
      <c r="F11" s="208"/>
      <c r="G11" s="40"/>
      <c r="H11" s="40">
        <f t="shared" si="0"/>
        <v>0</v>
      </c>
      <c r="I11" s="64">
        <f t="shared" si="1"/>
        <v>0</v>
      </c>
      <c r="J11" s="1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2:254" s="42" customFormat="1" ht="12.75">
      <c r="B12" s="218" t="s">
        <v>214</v>
      </c>
      <c r="C12" s="221">
        <v>911</v>
      </c>
      <c r="D12" s="63"/>
      <c r="E12" s="63"/>
      <c r="F12" s="208"/>
      <c r="G12" s="40"/>
      <c r="H12" s="40">
        <f>E12+F12-G12</f>
        <v>0</v>
      </c>
      <c r="I12" s="64">
        <f>H12-E12</f>
        <v>0</v>
      </c>
      <c r="J12" s="1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2:254" s="42" customFormat="1" ht="12.75">
      <c r="B13" s="217" t="s">
        <v>9</v>
      </c>
      <c r="C13" s="221">
        <v>911</v>
      </c>
      <c r="D13" s="63">
        <v>267.37798</v>
      </c>
      <c r="E13" s="63">
        <v>209.37798</v>
      </c>
      <c r="F13" s="208">
        <v>41</v>
      </c>
      <c r="G13" s="40">
        <v>143.214</v>
      </c>
      <c r="H13" s="40">
        <f t="shared" si="0"/>
        <v>107.16398000000001</v>
      </c>
      <c r="I13" s="64">
        <f t="shared" si="1"/>
        <v>-102.214</v>
      </c>
      <c r="J13" s="1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2:254" s="42" customFormat="1" ht="13.5" thickBot="1">
      <c r="B14" s="217" t="s">
        <v>10</v>
      </c>
      <c r="C14" s="221">
        <v>911</v>
      </c>
      <c r="D14" s="63"/>
      <c r="E14" s="63">
        <v>90.352</v>
      </c>
      <c r="F14" s="41"/>
      <c r="G14" s="41"/>
      <c r="H14" s="41">
        <f t="shared" si="0"/>
        <v>90.352</v>
      </c>
      <c r="I14" s="64">
        <f t="shared" si="1"/>
        <v>0</v>
      </c>
      <c r="J14" s="1"/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2:254" s="42" customFormat="1" ht="16.5" customHeight="1" thickBot="1">
      <c r="B15" s="219" t="s">
        <v>17</v>
      </c>
      <c r="C15" s="68">
        <v>911</v>
      </c>
      <c r="D15" s="69">
        <f aca="true" t="shared" si="2" ref="D15:I15">SUM(D6:D14)</f>
        <v>1822.6952099999999</v>
      </c>
      <c r="E15" s="69">
        <f t="shared" si="2"/>
        <v>3714.38511</v>
      </c>
      <c r="F15" s="70">
        <f t="shared" si="2"/>
        <v>1710.106</v>
      </c>
      <c r="G15" s="70">
        <f t="shared" si="2"/>
        <v>2501.21</v>
      </c>
      <c r="H15" s="70">
        <f t="shared" si="2"/>
        <v>2923.2811100000004</v>
      </c>
      <c r="I15" s="70">
        <f t="shared" si="2"/>
        <v>-791.1039999999998</v>
      </c>
      <c r="J15" s="1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ht="13.5" thickBot="1">
      <c r="K16" s="10"/>
    </row>
    <row r="17" spans="2:11" ht="43.5" customHeight="1" thickBot="1">
      <c r="B17" s="5" t="s">
        <v>23</v>
      </c>
      <c r="C17" s="249" t="s">
        <v>19</v>
      </c>
      <c r="D17" s="250" t="s">
        <v>238</v>
      </c>
      <c r="E17" s="6" t="s">
        <v>250</v>
      </c>
      <c r="F17" s="58" t="s">
        <v>208</v>
      </c>
      <c r="G17" s="5" t="s">
        <v>27</v>
      </c>
      <c r="H17" s="5" t="s">
        <v>251</v>
      </c>
      <c r="I17" s="249" t="s">
        <v>252</v>
      </c>
      <c r="K17" s="10"/>
    </row>
    <row r="18" spans="2:9" ht="12.75">
      <c r="B18" s="34"/>
      <c r="C18" s="59"/>
      <c r="D18" s="60"/>
      <c r="E18" s="9">
        <v>1</v>
      </c>
      <c r="F18" s="61">
        <v>2</v>
      </c>
      <c r="G18" s="8">
        <v>3</v>
      </c>
      <c r="H18" s="61">
        <v>4</v>
      </c>
      <c r="I18" s="8">
        <v>5</v>
      </c>
    </row>
    <row r="19" spans="2:11" ht="12.75">
      <c r="B19" s="52" t="s">
        <v>4</v>
      </c>
      <c r="C19" s="220">
        <v>912</v>
      </c>
      <c r="D19" s="62">
        <v>641.987</v>
      </c>
      <c r="E19" s="13">
        <v>798.458</v>
      </c>
      <c r="F19" s="13">
        <v>805.009</v>
      </c>
      <c r="G19" s="13">
        <v>397.9</v>
      </c>
      <c r="H19" s="13">
        <f>E19+F19-G19</f>
        <v>1205.567</v>
      </c>
      <c r="I19" s="14">
        <f aca="true" t="shared" si="3" ref="I19:I27">H19-E19</f>
        <v>407.10900000000004</v>
      </c>
      <c r="K19" s="10"/>
    </row>
    <row r="20" spans="2:254" s="42" customFormat="1" ht="12.75">
      <c r="B20" s="217" t="s">
        <v>5</v>
      </c>
      <c r="C20" s="221">
        <v>912</v>
      </c>
      <c r="D20" s="63">
        <v>562.32573</v>
      </c>
      <c r="E20" s="71">
        <v>664.60373</v>
      </c>
      <c r="F20" s="40">
        <v>994.295</v>
      </c>
      <c r="G20" s="40">
        <v>886.433</v>
      </c>
      <c r="H20" s="40">
        <f aca="true" t="shared" si="4" ref="H20:H26">E20+F20-G20</f>
        <v>772.4657299999999</v>
      </c>
      <c r="I20" s="64">
        <f t="shared" si="3"/>
        <v>107.86199999999985</v>
      </c>
      <c r="J20" s="1"/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2:254" s="42" customFormat="1" ht="12.75">
      <c r="B21" s="217" t="s">
        <v>6</v>
      </c>
      <c r="C21" s="221">
        <v>912</v>
      </c>
      <c r="D21" s="63">
        <v>42.68662</v>
      </c>
      <c r="E21" s="40">
        <v>48.61662</v>
      </c>
      <c r="F21" s="40">
        <v>94.28</v>
      </c>
      <c r="G21" s="40">
        <v>63.395</v>
      </c>
      <c r="H21" s="40">
        <f t="shared" si="4"/>
        <v>79.50161999999997</v>
      </c>
      <c r="I21" s="64">
        <f t="shared" si="3"/>
        <v>30.884999999999977</v>
      </c>
      <c r="J21" s="1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2:254" s="42" customFormat="1" ht="12.75">
      <c r="B22" s="217" t="s">
        <v>7</v>
      </c>
      <c r="C22" s="221">
        <v>912</v>
      </c>
      <c r="D22" s="63">
        <v>326.358</v>
      </c>
      <c r="E22" s="40">
        <v>330.9258</v>
      </c>
      <c r="F22" s="40">
        <v>614.304</v>
      </c>
      <c r="G22" s="40">
        <v>693.34667</v>
      </c>
      <c r="H22" s="40">
        <f t="shared" si="4"/>
        <v>251.88312999999994</v>
      </c>
      <c r="I22" s="64">
        <f t="shared" si="3"/>
        <v>-79.04267000000004</v>
      </c>
      <c r="J22" s="1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2:254" s="42" customFormat="1" ht="12.75">
      <c r="B23" s="11" t="s">
        <v>213</v>
      </c>
      <c r="C23" s="221">
        <v>912</v>
      </c>
      <c r="D23" s="63">
        <v>111.49217</v>
      </c>
      <c r="E23" s="40">
        <v>391.82817</v>
      </c>
      <c r="F23" s="40">
        <v>874.716</v>
      </c>
      <c r="G23" s="40">
        <v>967.9564</v>
      </c>
      <c r="H23" s="40">
        <f t="shared" si="4"/>
        <v>298.5877700000001</v>
      </c>
      <c r="I23" s="64">
        <f t="shared" si="3"/>
        <v>-93.24039999999991</v>
      </c>
      <c r="J23" s="1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2:254" s="42" customFormat="1" ht="12.75">
      <c r="B24" s="218" t="s">
        <v>8</v>
      </c>
      <c r="C24" s="221">
        <v>912</v>
      </c>
      <c r="D24" s="63"/>
      <c r="E24" s="40"/>
      <c r="F24" s="40"/>
      <c r="G24" s="40"/>
      <c r="H24" s="40">
        <f t="shared" si="4"/>
        <v>0</v>
      </c>
      <c r="I24" s="64">
        <f t="shared" si="3"/>
        <v>0</v>
      </c>
      <c r="J24" s="1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2:254" s="42" customFormat="1" ht="12.75">
      <c r="B25" s="218" t="s">
        <v>214</v>
      </c>
      <c r="C25" s="221">
        <v>912</v>
      </c>
      <c r="D25" s="63">
        <v>342.6248</v>
      </c>
      <c r="E25" s="40">
        <v>342.6248</v>
      </c>
      <c r="F25" s="40">
        <v>848.709</v>
      </c>
      <c r="G25" s="40">
        <v>665.506</v>
      </c>
      <c r="H25" s="40">
        <f>E25+F25-G25</f>
        <v>525.8277999999999</v>
      </c>
      <c r="I25" s="64">
        <f>H25-E25</f>
        <v>183.20299999999992</v>
      </c>
      <c r="J25" s="1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2:254" s="42" customFormat="1" ht="12.75">
      <c r="B26" s="217" t="s">
        <v>9</v>
      </c>
      <c r="C26" s="221">
        <v>912</v>
      </c>
      <c r="D26" s="568">
        <v>37.42109</v>
      </c>
      <c r="E26" s="40">
        <v>46.71209</v>
      </c>
      <c r="F26" s="40">
        <v>32.685</v>
      </c>
      <c r="G26" s="40">
        <v>20.748</v>
      </c>
      <c r="H26" s="40">
        <f t="shared" si="4"/>
        <v>58.64909</v>
      </c>
      <c r="I26" s="64">
        <f t="shared" si="3"/>
        <v>11.936999999999998</v>
      </c>
      <c r="J26" s="1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2:254" s="42" customFormat="1" ht="13.5" thickBot="1">
      <c r="B27" s="217" t="s">
        <v>10</v>
      </c>
      <c r="C27" s="221">
        <v>912</v>
      </c>
      <c r="D27" s="63"/>
      <c r="E27" s="40">
        <v>62.561</v>
      </c>
      <c r="F27" s="40">
        <v>54.996</v>
      </c>
      <c r="G27" s="40">
        <v>58.80325</v>
      </c>
      <c r="H27" s="41">
        <f>E27+F27-G27</f>
        <v>58.753750000000004</v>
      </c>
      <c r="I27" s="64">
        <f t="shared" si="3"/>
        <v>-3.8072499999999962</v>
      </c>
      <c r="J27" s="1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2:254" s="42" customFormat="1" ht="13.5" thickBot="1">
      <c r="B28" s="219" t="s">
        <v>17</v>
      </c>
      <c r="C28" s="68">
        <v>912</v>
      </c>
      <c r="D28" s="69">
        <f aca="true" t="shared" si="5" ref="D28:I28">SUM(D19:D27)</f>
        <v>2064.89541</v>
      </c>
      <c r="E28" s="70">
        <f t="shared" si="5"/>
        <v>2686.33021</v>
      </c>
      <c r="F28" s="70">
        <f t="shared" si="5"/>
        <v>4318.994000000001</v>
      </c>
      <c r="G28" s="70">
        <f t="shared" si="5"/>
        <v>3754.08832</v>
      </c>
      <c r="H28" s="70">
        <f t="shared" si="5"/>
        <v>3251.23589</v>
      </c>
      <c r="I28" s="70">
        <f t="shared" si="5"/>
        <v>564.9056799999998</v>
      </c>
      <c r="J28" s="1"/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ht="13.5" thickBot="1">
      <c r="K29" s="10"/>
    </row>
    <row r="30" spans="2:11" ht="43.5" customHeight="1" thickBot="1">
      <c r="B30" s="5" t="s">
        <v>492</v>
      </c>
      <c r="C30" s="249" t="s">
        <v>19</v>
      </c>
      <c r="D30" s="250" t="s">
        <v>238</v>
      </c>
      <c r="E30" s="6" t="s">
        <v>250</v>
      </c>
      <c r="F30" s="58" t="s">
        <v>208</v>
      </c>
      <c r="G30" s="5" t="s">
        <v>27</v>
      </c>
      <c r="H30" s="5" t="s">
        <v>251</v>
      </c>
      <c r="I30" s="249" t="s">
        <v>252</v>
      </c>
      <c r="K30" s="10"/>
    </row>
    <row r="31" spans="2:9" ht="12.75">
      <c r="B31" s="34"/>
      <c r="C31" s="59"/>
      <c r="D31" s="60"/>
      <c r="E31" s="9">
        <v>1</v>
      </c>
      <c r="F31" s="61">
        <v>2</v>
      </c>
      <c r="G31" s="8">
        <v>3</v>
      </c>
      <c r="H31" s="61">
        <v>4</v>
      </c>
      <c r="I31" s="8">
        <v>5</v>
      </c>
    </row>
    <row r="32" spans="2:11" ht="12.75">
      <c r="B32" s="52" t="s">
        <v>4</v>
      </c>
      <c r="C32" s="220">
        <v>914</v>
      </c>
      <c r="D32" s="62">
        <v>1114.94</v>
      </c>
      <c r="E32" s="13">
        <f>1951.62841+43095.5129</f>
        <v>45047.14131</v>
      </c>
      <c r="F32" s="13">
        <f>41.04679+60201.35732</f>
        <v>60242.40411</v>
      </c>
      <c r="G32" s="13">
        <f>1071.913+43095.5129</f>
        <v>44167.4259</v>
      </c>
      <c r="H32" s="13">
        <f aca="true" t="shared" si="6" ref="H32:H40">E32+F32-G32</f>
        <v>61122.11952000001</v>
      </c>
      <c r="I32" s="14">
        <f aca="true" t="shared" si="7" ref="I32:I40">H32-E32</f>
        <v>16074.978210000008</v>
      </c>
      <c r="K32" s="10"/>
    </row>
    <row r="33" spans="2:254" s="42" customFormat="1" ht="12.75">
      <c r="B33" s="217" t="s">
        <v>5</v>
      </c>
      <c r="C33" s="221">
        <v>914</v>
      </c>
      <c r="D33" s="63">
        <v>7896.40956</v>
      </c>
      <c r="E33" s="71">
        <f>13643.23061+11749.43125</f>
        <v>25392.66186</v>
      </c>
      <c r="F33" s="40">
        <f>432.74213+11962.15389</f>
        <v>12394.89602</v>
      </c>
      <c r="G33" s="40">
        <v>15110.73572</v>
      </c>
      <c r="H33" s="40">
        <f t="shared" si="6"/>
        <v>22676.82216</v>
      </c>
      <c r="I33" s="64">
        <f t="shared" si="7"/>
        <v>-2715.8397000000004</v>
      </c>
      <c r="J33" s="1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2:254" s="42" customFormat="1" ht="12.75">
      <c r="B34" s="217" t="s">
        <v>6</v>
      </c>
      <c r="C34" s="221">
        <v>914</v>
      </c>
      <c r="D34" s="63">
        <v>149.62682</v>
      </c>
      <c r="E34" s="42">
        <v>172.53082</v>
      </c>
      <c r="F34" s="40">
        <v>217.33561</v>
      </c>
      <c r="G34" s="40"/>
      <c r="H34" s="40">
        <f t="shared" si="6"/>
        <v>389.86643000000004</v>
      </c>
      <c r="I34" s="64">
        <f t="shared" si="7"/>
        <v>217.33561000000003</v>
      </c>
      <c r="J34" s="1"/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2:254" s="42" customFormat="1" ht="12.75">
      <c r="B35" s="217" t="s">
        <v>7</v>
      </c>
      <c r="C35" s="221">
        <v>914</v>
      </c>
      <c r="D35" s="63">
        <f>2022.20726+92610.92074</f>
        <v>94633.128</v>
      </c>
      <c r="E35" s="40">
        <f>2046.17126+183517.19265</f>
        <v>185563.36391000001</v>
      </c>
      <c r="F35" s="40">
        <f>100.02948+22638.57657</f>
        <v>22738.606050000002</v>
      </c>
      <c r="G35" s="40">
        <v>74757.16636</v>
      </c>
      <c r="H35" s="40">
        <f t="shared" si="6"/>
        <v>133544.8036</v>
      </c>
      <c r="I35" s="64">
        <f t="shared" si="7"/>
        <v>-52018.56031</v>
      </c>
      <c r="J35" s="1"/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2:254" s="42" customFormat="1" ht="12.75">
      <c r="B36" s="11" t="s">
        <v>213</v>
      </c>
      <c r="C36" s="221">
        <v>914</v>
      </c>
      <c r="D36" s="63">
        <f>4141.26274+0.62274</f>
        <v>4141.88548</v>
      </c>
      <c r="E36" s="40">
        <f>7641.26274+258.58312</f>
        <v>7899.84586</v>
      </c>
      <c r="F36" s="40">
        <f>15952.64779+630.77692</f>
        <v>16583.42471</v>
      </c>
      <c r="G36" s="40">
        <f>14500+453.93515</f>
        <v>14953.93515</v>
      </c>
      <c r="H36" s="40">
        <f t="shared" si="6"/>
        <v>9529.335420000001</v>
      </c>
      <c r="I36" s="64">
        <f t="shared" si="7"/>
        <v>1629.489560000001</v>
      </c>
      <c r="J36" s="1"/>
      <c r="K36" s="1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2:254" s="42" customFormat="1" ht="12.75">
      <c r="B37" s="218" t="s">
        <v>8</v>
      </c>
      <c r="C37" s="221">
        <v>914</v>
      </c>
      <c r="D37" s="67">
        <v>333.46548</v>
      </c>
      <c r="E37" s="41">
        <v>352.6916</v>
      </c>
      <c r="F37" s="71">
        <v>69.65055</v>
      </c>
      <c r="G37" s="71">
        <v>52.38176</v>
      </c>
      <c r="H37" s="40">
        <f t="shared" si="6"/>
        <v>369.96039</v>
      </c>
      <c r="I37" s="64">
        <f t="shared" si="7"/>
        <v>17.268790000000024</v>
      </c>
      <c r="J37" s="1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2:254" s="42" customFormat="1" ht="12.75">
      <c r="B38" s="218" t="s">
        <v>214</v>
      </c>
      <c r="C38" s="221">
        <v>914</v>
      </c>
      <c r="D38" s="63">
        <v>73656.42092</v>
      </c>
      <c r="E38" s="40">
        <v>73656.42092</v>
      </c>
      <c r="F38" s="40">
        <f>1000+61572.68143</f>
        <v>62572.68143</v>
      </c>
      <c r="G38" s="40">
        <v>73409.91192</v>
      </c>
      <c r="H38" s="40">
        <f>E38+F38-G38</f>
        <v>62819.19043</v>
      </c>
      <c r="I38" s="64">
        <f>H38-E38</f>
        <v>-10837.230490000002</v>
      </c>
      <c r="J38" s="1"/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2:254" s="42" customFormat="1" ht="12.75">
      <c r="B39" s="217" t="s">
        <v>9</v>
      </c>
      <c r="C39" s="221">
        <v>914</v>
      </c>
      <c r="D39" s="63">
        <v>821.69937</v>
      </c>
      <c r="E39" s="40">
        <v>1211.14413</v>
      </c>
      <c r="F39" s="40">
        <v>635.37501</v>
      </c>
      <c r="G39" s="40">
        <v>196.67118</v>
      </c>
      <c r="H39" s="40">
        <f t="shared" si="6"/>
        <v>1649.8479599999998</v>
      </c>
      <c r="I39" s="64">
        <f t="shared" si="7"/>
        <v>438.7038299999999</v>
      </c>
      <c r="J39" s="1"/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2:254" s="42" customFormat="1" ht="13.5" thickBot="1">
      <c r="B40" s="217" t="s">
        <v>10</v>
      </c>
      <c r="C40" s="221">
        <v>914</v>
      </c>
      <c r="D40" s="63"/>
      <c r="E40" s="40">
        <v>23.19766</v>
      </c>
      <c r="F40" s="40"/>
      <c r="G40" s="40"/>
      <c r="H40" s="41">
        <f t="shared" si="6"/>
        <v>23.19766</v>
      </c>
      <c r="I40" s="64">
        <f t="shared" si="7"/>
        <v>0</v>
      </c>
      <c r="J40" s="1"/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2:254" s="42" customFormat="1" ht="13.5" thickBot="1">
      <c r="B41" s="219" t="s">
        <v>17</v>
      </c>
      <c r="C41" s="68">
        <v>914</v>
      </c>
      <c r="D41" s="69">
        <f aca="true" t="shared" si="8" ref="D41:I41">SUM(D32:D40)</f>
        <v>182747.57562999998</v>
      </c>
      <c r="E41" s="70">
        <f t="shared" si="8"/>
        <v>339318.99807000003</v>
      </c>
      <c r="F41" s="70">
        <f t="shared" si="8"/>
        <v>175454.37349</v>
      </c>
      <c r="G41" s="70">
        <f t="shared" si="8"/>
        <v>222648.22798999998</v>
      </c>
      <c r="H41" s="70">
        <f t="shared" si="8"/>
        <v>292125.14357</v>
      </c>
      <c r="I41" s="70">
        <f t="shared" si="8"/>
        <v>-47193.854499999994</v>
      </c>
      <c r="J41" s="1"/>
      <c r="K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ht="13.5" thickBot="1">
      <c r="K42" s="10"/>
    </row>
    <row r="43" spans="2:11" ht="43.5" customHeight="1" thickBot="1">
      <c r="B43" s="5" t="s">
        <v>14</v>
      </c>
      <c r="C43" s="249" t="s">
        <v>19</v>
      </c>
      <c r="D43" s="250" t="s">
        <v>238</v>
      </c>
      <c r="E43" s="6" t="s">
        <v>250</v>
      </c>
      <c r="F43" s="58" t="s">
        <v>208</v>
      </c>
      <c r="G43" s="5" t="s">
        <v>27</v>
      </c>
      <c r="H43" s="5" t="s">
        <v>251</v>
      </c>
      <c r="I43" s="249" t="s">
        <v>252</v>
      </c>
      <c r="K43" s="10"/>
    </row>
    <row r="44" spans="2:9" ht="12.75">
      <c r="B44" s="34"/>
      <c r="C44" s="59"/>
      <c r="D44" s="60"/>
      <c r="E44" s="9">
        <v>1</v>
      </c>
      <c r="F44" s="61">
        <v>2</v>
      </c>
      <c r="G44" s="8">
        <v>3</v>
      </c>
      <c r="H44" s="61">
        <v>4</v>
      </c>
      <c r="I44" s="8">
        <v>5</v>
      </c>
    </row>
    <row r="45" spans="2:11" ht="12.75">
      <c r="B45" s="52" t="s">
        <v>4</v>
      </c>
      <c r="C45" s="220">
        <v>916</v>
      </c>
      <c r="D45" s="62">
        <v>7809.23972</v>
      </c>
      <c r="E45" s="25">
        <v>6090.32862</v>
      </c>
      <c r="F45" s="13">
        <v>4578.301</v>
      </c>
      <c r="G45" s="13">
        <v>1254.02008</v>
      </c>
      <c r="H45" s="13">
        <f aca="true" t="shared" si="9" ref="H45:H53">E45+F45-G45</f>
        <v>9414.60954</v>
      </c>
      <c r="I45" s="14">
        <f aca="true" t="shared" si="10" ref="I45:I53">H45-E45</f>
        <v>3324.2809199999992</v>
      </c>
      <c r="K45" s="10"/>
    </row>
    <row r="46" spans="2:254" s="42" customFormat="1" ht="12.75">
      <c r="B46" s="217" t="s">
        <v>5</v>
      </c>
      <c r="C46" s="221">
        <v>916</v>
      </c>
      <c r="D46" s="63">
        <v>10632.99316</v>
      </c>
      <c r="E46" s="71">
        <v>8628.87257</v>
      </c>
      <c r="F46" s="40">
        <v>6656.27627</v>
      </c>
      <c r="G46" s="40">
        <v>3451.4034</v>
      </c>
      <c r="H46" s="40">
        <f t="shared" si="9"/>
        <v>11833.745439999999</v>
      </c>
      <c r="I46" s="64">
        <f t="shared" si="10"/>
        <v>3204.8728699999992</v>
      </c>
      <c r="J46" s="1"/>
      <c r="K46" s="1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2:254" s="42" customFormat="1" ht="12.75">
      <c r="B47" s="217" t="s">
        <v>6</v>
      </c>
      <c r="C47" s="221">
        <v>916</v>
      </c>
      <c r="D47" s="63">
        <v>213.434</v>
      </c>
      <c r="E47" s="71">
        <v>532.07137</v>
      </c>
      <c r="F47" s="40">
        <v>667.42844</v>
      </c>
      <c r="G47" s="71">
        <v>610.403</v>
      </c>
      <c r="H47" s="40">
        <f t="shared" si="9"/>
        <v>589.09681</v>
      </c>
      <c r="I47" s="64">
        <f t="shared" si="10"/>
        <v>57.02544</v>
      </c>
      <c r="J47" s="1"/>
      <c r="K47" s="1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2:254" s="42" customFormat="1" ht="12.75">
      <c r="B48" s="217" t="s">
        <v>7</v>
      </c>
      <c r="C48" s="221">
        <v>916</v>
      </c>
      <c r="D48" s="63">
        <v>2855.637</v>
      </c>
      <c r="E48" s="40">
        <v>2797.65007</v>
      </c>
      <c r="F48" s="40">
        <v>3642.94369</v>
      </c>
      <c r="G48" s="40">
        <v>3100</v>
      </c>
      <c r="H48" s="40">
        <f t="shared" si="9"/>
        <v>3340.5937599999997</v>
      </c>
      <c r="I48" s="64">
        <f t="shared" si="10"/>
        <v>542.9436899999996</v>
      </c>
      <c r="J48" s="1"/>
      <c r="K48" s="1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2:254" s="42" customFormat="1" ht="12.75">
      <c r="B49" s="11" t="s">
        <v>213</v>
      </c>
      <c r="C49" s="221">
        <v>916</v>
      </c>
      <c r="D49" s="63">
        <v>6237.71784</v>
      </c>
      <c r="E49" s="40">
        <v>10836.14417</v>
      </c>
      <c r="F49" s="40">
        <v>20809.97926</v>
      </c>
      <c r="G49" s="40">
        <v>8287.2109</v>
      </c>
      <c r="H49" s="40">
        <f t="shared" si="9"/>
        <v>23358.91253</v>
      </c>
      <c r="I49" s="64">
        <f t="shared" si="10"/>
        <v>12522.768360000002</v>
      </c>
      <c r="J49" s="1"/>
      <c r="K49" s="1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2:254" s="42" customFormat="1" ht="12.75">
      <c r="B50" s="218" t="s">
        <v>8</v>
      </c>
      <c r="C50" s="221">
        <v>916</v>
      </c>
      <c r="D50" s="63">
        <v>454.6041</v>
      </c>
      <c r="E50" s="40">
        <v>454.6041</v>
      </c>
      <c r="F50" s="40"/>
      <c r="G50" s="40"/>
      <c r="H50" s="40">
        <f t="shared" si="9"/>
        <v>454.6041</v>
      </c>
      <c r="I50" s="64">
        <f t="shared" si="10"/>
        <v>0</v>
      </c>
      <c r="J50" s="1"/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2:254" s="42" customFormat="1" ht="12.75">
      <c r="B51" s="218" t="s">
        <v>214</v>
      </c>
      <c r="C51" s="221">
        <v>916</v>
      </c>
      <c r="D51" s="63">
        <v>5818.581</v>
      </c>
      <c r="E51" s="40">
        <v>5818.581</v>
      </c>
      <c r="F51" s="40">
        <v>29781.60194</v>
      </c>
      <c r="G51" s="40">
        <v>24189.0964</v>
      </c>
      <c r="H51" s="40">
        <f>E51+F51-G51</f>
        <v>11411.08654</v>
      </c>
      <c r="I51" s="64">
        <f>H51-E51</f>
        <v>5592.50554</v>
      </c>
      <c r="J51" s="1"/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2:254" s="42" customFormat="1" ht="12.75">
      <c r="B52" s="217" t="s">
        <v>9</v>
      </c>
      <c r="C52" s="221">
        <v>916</v>
      </c>
      <c r="D52" s="63">
        <v>1140.08022</v>
      </c>
      <c r="E52" s="40">
        <v>1305.20472</v>
      </c>
      <c r="F52" s="40">
        <v>345.258</v>
      </c>
      <c r="G52" s="40"/>
      <c r="H52" s="40">
        <f t="shared" si="9"/>
        <v>1650.46272</v>
      </c>
      <c r="I52" s="64">
        <f t="shared" si="10"/>
        <v>345.25800000000004</v>
      </c>
      <c r="J52" s="1"/>
      <c r="K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2:254" s="42" customFormat="1" ht="13.5" thickBot="1">
      <c r="B53" s="217" t="s">
        <v>10</v>
      </c>
      <c r="C53" s="221">
        <v>916</v>
      </c>
      <c r="D53" s="63"/>
      <c r="E53" s="40">
        <v>65.32</v>
      </c>
      <c r="F53" s="214">
        <v>1016.5</v>
      </c>
      <c r="G53" s="214">
        <v>1016.5</v>
      </c>
      <c r="H53" s="251">
        <f t="shared" si="9"/>
        <v>65.31999999999994</v>
      </c>
      <c r="I53" s="64">
        <f t="shared" si="10"/>
        <v>0</v>
      </c>
      <c r="J53" s="1"/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2:254" s="42" customFormat="1" ht="13.5" thickBot="1">
      <c r="B54" s="219" t="s">
        <v>17</v>
      </c>
      <c r="C54" s="68">
        <v>916</v>
      </c>
      <c r="D54" s="69">
        <f aca="true" t="shared" si="11" ref="D54:I54">SUM(D45:D53)</f>
        <v>35162.28704</v>
      </c>
      <c r="E54" s="70">
        <f t="shared" si="11"/>
        <v>36528.776620000004</v>
      </c>
      <c r="F54" s="70">
        <f t="shared" si="11"/>
        <v>67498.2886</v>
      </c>
      <c r="G54" s="70">
        <f t="shared" si="11"/>
        <v>41908.633780000004</v>
      </c>
      <c r="H54" s="70">
        <f t="shared" si="11"/>
        <v>62118.43144</v>
      </c>
      <c r="I54" s="70">
        <f t="shared" si="11"/>
        <v>25589.654820000003</v>
      </c>
      <c r="J54" s="1"/>
      <c r="K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3:11" ht="13.5" thickBot="1">
      <c r="C55" s="57"/>
      <c r="K55" s="10"/>
    </row>
    <row r="56" spans="2:11" ht="43.5" customHeight="1" thickBot="1">
      <c r="B56" s="5" t="s">
        <v>16</v>
      </c>
      <c r="C56" s="249" t="s">
        <v>19</v>
      </c>
      <c r="D56" s="250" t="s">
        <v>238</v>
      </c>
      <c r="E56" s="6" t="s">
        <v>250</v>
      </c>
      <c r="F56" s="58" t="s">
        <v>208</v>
      </c>
      <c r="G56" s="5" t="s">
        <v>27</v>
      </c>
      <c r="H56" s="5" t="s">
        <v>251</v>
      </c>
      <c r="I56" s="249" t="s">
        <v>252</v>
      </c>
      <c r="K56" s="10"/>
    </row>
    <row r="57" spans="2:9" ht="13.5" thickBot="1">
      <c r="B57" s="34"/>
      <c r="C57" s="31"/>
      <c r="D57" s="60"/>
      <c r="E57" s="9">
        <v>1</v>
      </c>
      <c r="F57" s="61">
        <v>2</v>
      </c>
      <c r="G57" s="8">
        <v>3</v>
      </c>
      <c r="H57" s="61">
        <v>4</v>
      </c>
      <c r="I57" s="8">
        <v>5</v>
      </c>
    </row>
    <row r="58" spans="2:11" ht="12.75">
      <c r="B58" s="11" t="s">
        <v>4</v>
      </c>
      <c r="C58" s="224"/>
      <c r="D58" s="222">
        <f aca="true" t="shared" si="12" ref="D58:I66">D6+D19+D32+D45</f>
        <v>9725.85464</v>
      </c>
      <c r="E58" s="25">
        <f t="shared" si="12"/>
        <v>52519.48796</v>
      </c>
      <c r="F58" s="25">
        <f t="shared" si="12"/>
        <v>65625.71411</v>
      </c>
      <c r="G58" s="25">
        <f t="shared" si="12"/>
        <v>45819.345980000006</v>
      </c>
      <c r="H58" s="25">
        <f t="shared" si="12"/>
        <v>72325.85609000002</v>
      </c>
      <c r="I58" s="25">
        <f t="shared" si="12"/>
        <v>19806.36813000001</v>
      </c>
      <c r="K58" s="10"/>
    </row>
    <row r="59" spans="2:11" ht="12.75">
      <c r="B59" s="11" t="s">
        <v>5</v>
      </c>
      <c r="C59" s="224"/>
      <c r="D59" s="222">
        <f t="shared" si="12"/>
        <v>20106.28082</v>
      </c>
      <c r="E59" s="211">
        <f t="shared" si="12"/>
        <v>36700.69053</v>
      </c>
      <c r="F59" s="211">
        <f t="shared" si="12"/>
        <v>20045.46729</v>
      </c>
      <c r="G59" s="211">
        <f t="shared" si="12"/>
        <v>20048.72712</v>
      </c>
      <c r="H59" s="211">
        <f t="shared" si="12"/>
        <v>36697.4307</v>
      </c>
      <c r="I59" s="211">
        <f t="shared" si="12"/>
        <v>-3.2598300000013296</v>
      </c>
      <c r="K59" s="10"/>
    </row>
    <row r="60" spans="2:11" ht="12.75">
      <c r="B60" s="11" t="s">
        <v>6</v>
      </c>
      <c r="C60" s="224"/>
      <c r="D60" s="222">
        <f t="shared" si="12"/>
        <v>405.74744</v>
      </c>
      <c r="E60" s="211">
        <f t="shared" si="12"/>
        <v>753.2188100000001</v>
      </c>
      <c r="F60" s="211">
        <f t="shared" si="12"/>
        <v>1079.04405</v>
      </c>
      <c r="G60" s="211">
        <f t="shared" si="12"/>
        <v>773.798</v>
      </c>
      <c r="H60" s="211">
        <f t="shared" si="12"/>
        <v>1058.46486</v>
      </c>
      <c r="I60" s="211">
        <f t="shared" si="12"/>
        <v>305.24605</v>
      </c>
      <c r="K60" s="10"/>
    </row>
    <row r="61" spans="2:11" ht="12.75">
      <c r="B61" s="11" t="s">
        <v>7</v>
      </c>
      <c r="C61" s="224"/>
      <c r="D61" s="222">
        <f t="shared" si="12"/>
        <v>97975.729</v>
      </c>
      <c r="E61" s="211">
        <f t="shared" si="12"/>
        <v>188806.97701000003</v>
      </c>
      <c r="F61" s="211">
        <f t="shared" si="12"/>
        <v>27354.959740000002</v>
      </c>
      <c r="G61" s="211">
        <f t="shared" si="12"/>
        <v>78550.51303</v>
      </c>
      <c r="H61" s="211">
        <f t="shared" si="12"/>
        <v>137611.42372</v>
      </c>
      <c r="I61" s="211">
        <f t="shared" si="12"/>
        <v>-51195.55329</v>
      </c>
      <c r="K61" s="10"/>
    </row>
    <row r="62" spans="2:11" ht="12.75">
      <c r="B62" s="11" t="s">
        <v>213</v>
      </c>
      <c r="C62" s="224"/>
      <c r="D62" s="222">
        <f t="shared" si="12"/>
        <v>10711.566429999999</v>
      </c>
      <c r="E62" s="211">
        <f t="shared" si="12"/>
        <v>19829.3237</v>
      </c>
      <c r="F62" s="211">
        <f t="shared" si="12"/>
        <v>39478.11997</v>
      </c>
      <c r="G62" s="211">
        <f t="shared" si="12"/>
        <v>25866.94345</v>
      </c>
      <c r="H62" s="211">
        <f t="shared" si="12"/>
        <v>33440.50022</v>
      </c>
      <c r="I62" s="211">
        <f t="shared" si="12"/>
        <v>13611.176520000003</v>
      </c>
      <c r="K62" s="10"/>
    </row>
    <row r="63" spans="2:11" ht="12.75">
      <c r="B63" s="15" t="s">
        <v>8</v>
      </c>
      <c r="C63" s="224"/>
      <c r="D63" s="222">
        <f t="shared" si="12"/>
        <v>788.0695800000001</v>
      </c>
      <c r="E63" s="211">
        <f t="shared" si="12"/>
        <v>807.2957</v>
      </c>
      <c r="F63" s="211">
        <f t="shared" si="12"/>
        <v>69.65055</v>
      </c>
      <c r="G63" s="211">
        <f t="shared" si="12"/>
        <v>52.38176</v>
      </c>
      <c r="H63" s="211">
        <f t="shared" si="12"/>
        <v>824.56449</v>
      </c>
      <c r="I63" s="211">
        <f t="shared" si="12"/>
        <v>17.268790000000024</v>
      </c>
      <c r="K63" s="10"/>
    </row>
    <row r="64" spans="2:11" ht="12.75">
      <c r="B64" s="39" t="s">
        <v>214</v>
      </c>
      <c r="C64" s="224"/>
      <c r="D64" s="222">
        <f t="shared" si="12"/>
        <v>79817.62672000001</v>
      </c>
      <c r="E64" s="211">
        <f t="shared" si="12"/>
        <v>79817.62672000001</v>
      </c>
      <c r="F64" s="211">
        <f t="shared" si="12"/>
        <v>93202.99236999999</v>
      </c>
      <c r="G64" s="211">
        <f t="shared" si="12"/>
        <v>98264.51431999999</v>
      </c>
      <c r="H64" s="211">
        <f t="shared" si="12"/>
        <v>74756.10477</v>
      </c>
      <c r="I64" s="211">
        <f t="shared" si="12"/>
        <v>-5061.521950000002</v>
      </c>
      <c r="K64" s="10"/>
    </row>
    <row r="65" spans="2:11" ht="12.75">
      <c r="B65" s="11" t="s">
        <v>9</v>
      </c>
      <c r="C65" s="224"/>
      <c r="D65" s="211">
        <f t="shared" si="12"/>
        <v>2266.57866</v>
      </c>
      <c r="E65" s="211">
        <f t="shared" si="12"/>
        <v>2772.4389199999996</v>
      </c>
      <c r="F65" s="211">
        <f t="shared" si="12"/>
        <v>1054.31801</v>
      </c>
      <c r="G65" s="211">
        <f t="shared" si="12"/>
        <v>360.63318</v>
      </c>
      <c r="H65" s="211">
        <f t="shared" si="12"/>
        <v>3466.1237499999997</v>
      </c>
      <c r="I65" s="211">
        <f t="shared" si="12"/>
        <v>693.6848299999999</v>
      </c>
      <c r="K65" s="10"/>
    </row>
    <row r="66" spans="2:11" ht="13.5" thickBot="1">
      <c r="B66" s="11" t="s">
        <v>10</v>
      </c>
      <c r="C66" s="224"/>
      <c r="D66" s="222">
        <f t="shared" si="12"/>
        <v>0</v>
      </c>
      <c r="E66" s="211">
        <f t="shared" si="12"/>
        <v>241.43066</v>
      </c>
      <c r="F66" s="211">
        <f t="shared" si="12"/>
        <v>1071.496</v>
      </c>
      <c r="G66" s="211">
        <f t="shared" si="12"/>
        <v>1075.30325</v>
      </c>
      <c r="H66" s="211">
        <f t="shared" si="12"/>
        <v>237.62340999999992</v>
      </c>
      <c r="I66" s="211">
        <f t="shared" si="12"/>
        <v>-3.8072499999999962</v>
      </c>
      <c r="K66" s="10"/>
    </row>
    <row r="67" spans="2:11" ht="13.5" thickBot="1">
      <c r="B67" s="18" t="s">
        <v>17</v>
      </c>
      <c r="C67" s="31"/>
      <c r="D67" s="223">
        <f>SUM(D58:D66)</f>
        <v>221797.45329000003</v>
      </c>
      <c r="E67" s="19">
        <f>SUM(E58:E66)</f>
        <v>382248.49001000007</v>
      </c>
      <c r="F67" s="19">
        <f>SUM(F58:F66)</f>
        <v>248981.76208999997</v>
      </c>
      <c r="G67" s="19">
        <f>SUM(G58:G66)</f>
        <v>270812.16009</v>
      </c>
      <c r="H67" s="19">
        <f>SUM(H58:H66)</f>
        <v>360418.09201</v>
      </c>
      <c r="I67" s="19">
        <f>SUM(I58:I66)+0.01</f>
        <v>-21830.388000000003</v>
      </c>
      <c r="K67" s="10"/>
    </row>
    <row r="68" ht="12.75">
      <c r="K68" s="10"/>
    </row>
    <row r="69" ht="12.75">
      <c r="K69" s="10"/>
    </row>
    <row r="70" ht="12.75">
      <c r="K70" s="10"/>
    </row>
    <row r="71" ht="12.75">
      <c r="K71" s="10"/>
    </row>
    <row r="72" spans="8:11" ht="12.75">
      <c r="H72" s="10"/>
      <c r="K72" s="10"/>
    </row>
    <row r="73" ht="12.75">
      <c r="K73" s="10"/>
    </row>
    <row r="74" spans="8:11" ht="12.75">
      <c r="H74" s="10"/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  <row r="85" ht="12.75">
      <c r="K85" s="10"/>
    </row>
    <row r="86" ht="12.75">
      <c r="K86" s="10"/>
    </row>
    <row r="87" ht="12.75">
      <c r="K87" s="10"/>
    </row>
    <row r="88" ht="12.75">
      <c r="K88" s="10"/>
    </row>
    <row r="89" ht="12.75">
      <c r="K89" s="10"/>
    </row>
    <row r="90" ht="12.75">
      <c r="K90" s="10"/>
    </row>
    <row r="91" ht="12.75">
      <c r="K91" s="10"/>
    </row>
    <row r="92" ht="12.75">
      <c r="K92" s="10"/>
    </row>
    <row r="93" ht="12.75">
      <c r="K93" s="10"/>
    </row>
    <row r="94" ht="12.75">
      <c r="K94" s="10"/>
    </row>
    <row r="95" ht="12.75">
      <c r="K95" s="10"/>
    </row>
    <row r="96" ht="12.75">
      <c r="K96" s="10"/>
    </row>
    <row r="97" ht="12.75">
      <c r="K97" s="10"/>
    </row>
    <row r="98" ht="12.75">
      <c r="K98" s="10"/>
    </row>
    <row r="99" ht="12.75">
      <c r="K99" s="10"/>
    </row>
    <row r="100" ht="12.75">
      <c r="K100" s="10"/>
    </row>
    <row r="101" ht="12.75">
      <c r="K101" s="10"/>
    </row>
    <row r="102" ht="12.75">
      <c r="K102" s="10"/>
    </row>
    <row r="103" ht="12.75">
      <c r="K103" s="10"/>
    </row>
    <row r="104" ht="12.75">
      <c r="K104" s="10"/>
    </row>
    <row r="105" ht="12.75">
      <c r="K105" s="10"/>
    </row>
    <row r="106" ht="12.75">
      <c r="K106" s="10"/>
    </row>
    <row r="107" ht="12.75">
      <c r="K107" s="10"/>
    </row>
    <row r="108" ht="12.75">
      <c r="K108" s="10"/>
    </row>
    <row r="109" ht="12.75">
      <c r="K109" s="10"/>
    </row>
    <row r="110" ht="12.75">
      <c r="K110" s="10"/>
    </row>
    <row r="111" ht="12.75">
      <c r="K111" s="10"/>
    </row>
    <row r="112" ht="12.75">
      <c r="K112" s="10"/>
    </row>
    <row r="113" ht="12.75">
      <c r="K113" s="10"/>
    </row>
    <row r="114" ht="12.75">
      <c r="K114" s="10"/>
    </row>
    <row r="115" ht="12.75">
      <c r="K115" s="10"/>
    </row>
    <row r="116" ht="12.75">
      <c r="K116" s="10"/>
    </row>
    <row r="117" ht="12.75">
      <c r="K117" s="10"/>
    </row>
    <row r="118" ht="12.75">
      <c r="K118" s="10"/>
    </row>
    <row r="119" ht="12.75">
      <c r="K119" s="10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  <row r="125" ht="12.75">
      <c r="K125" s="10"/>
    </row>
    <row r="126" ht="12.75">
      <c r="K126" s="10"/>
    </row>
    <row r="127" ht="12.75">
      <c r="K127" s="10"/>
    </row>
    <row r="128" ht="12.75">
      <c r="K128" s="10"/>
    </row>
    <row r="129" ht="12.75">
      <c r="K129" s="10"/>
    </row>
    <row r="130" ht="12.75">
      <c r="K130" s="10"/>
    </row>
    <row r="131" ht="12.75">
      <c r="K131" s="10"/>
    </row>
    <row r="132" ht="12.75">
      <c r="K132" s="10"/>
    </row>
    <row r="133" ht="12.75">
      <c r="K133" s="10"/>
    </row>
    <row r="134" ht="12.75">
      <c r="K134" s="10"/>
    </row>
    <row r="135" ht="12.75">
      <c r="K135" s="10"/>
    </row>
    <row r="136" ht="12.75">
      <c r="K136" s="10"/>
    </row>
    <row r="137" ht="12.75">
      <c r="K137" s="10"/>
    </row>
    <row r="138" ht="12.75">
      <c r="K138" s="10"/>
    </row>
    <row r="139" ht="12.75">
      <c r="K139" s="10"/>
    </row>
    <row r="140" ht="12.75">
      <c r="K140" s="10"/>
    </row>
    <row r="141" ht="12.75">
      <c r="K141" s="10"/>
    </row>
    <row r="142" ht="12.75">
      <c r="K142" s="10"/>
    </row>
    <row r="143" ht="12.75">
      <c r="K143" s="10"/>
    </row>
    <row r="144" ht="12.75">
      <c r="K144" s="10"/>
    </row>
    <row r="145" ht="12.75">
      <c r="K145" s="10"/>
    </row>
    <row r="146" ht="12.75">
      <c r="K146" s="10"/>
    </row>
    <row r="147" ht="12.75">
      <c r="K147" s="10"/>
    </row>
    <row r="148" ht="12.75">
      <c r="K148" s="10"/>
    </row>
    <row r="149" ht="12.75">
      <c r="K149" s="10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2.75">
      <c r="K160" s="10"/>
    </row>
    <row r="161" ht="12.75">
      <c r="K161" s="10"/>
    </row>
    <row r="162" ht="12.75">
      <c r="K162" s="10"/>
    </row>
    <row r="163" ht="12.75">
      <c r="K163" s="10"/>
    </row>
    <row r="164" ht="12.75">
      <c r="K164" s="10"/>
    </row>
    <row r="165" ht="12.75">
      <c r="K165" s="10"/>
    </row>
    <row r="166" ht="12.75">
      <c r="K166" s="10"/>
    </row>
    <row r="167" ht="12.75">
      <c r="K167" s="10"/>
    </row>
    <row r="168" ht="12.75">
      <c r="K168" s="10"/>
    </row>
    <row r="169" ht="12.75">
      <c r="K169" s="10"/>
    </row>
    <row r="170" ht="12.75">
      <c r="K170" s="10"/>
    </row>
    <row r="171" ht="12.75">
      <c r="K171" s="10"/>
    </row>
    <row r="172" ht="12.75">
      <c r="K172" s="10"/>
    </row>
    <row r="173" ht="12.75">
      <c r="K173" s="10"/>
    </row>
    <row r="174" ht="12.75">
      <c r="K174" s="10"/>
    </row>
    <row r="175" ht="12.75">
      <c r="K175" s="10"/>
    </row>
    <row r="176" ht="12.75">
      <c r="K176" s="10"/>
    </row>
    <row r="177" ht="12.75">
      <c r="K177" s="10"/>
    </row>
    <row r="178" ht="12.75">
      <c r="K178" s="10"/>
    </row>
    <row r="179" ht="12.75">
      <c r="K179" s="10"/>
    </row>
    <row r="180" ht="12.75">
      <c r="K180" s="10"/>
    </row>
    <row r="181" ht="12.75">
      <c r="K181" s="10"/>
    </row>
    <row r="182" ht="12.75">
      <c r="K182" s="10"/>
    </row>
    <row r="183" ht="12.75">
      <c r="K183" s="10"/>
    </row>
    <row r="184" ht="12.75">
      <c r="K184" s="10"/>
    </row>
    <row r="185" ht="12.75">
      <c r="K185" s="10"/>
    </row>
    <row r="186" ht="12.75">
      <c r="K186" s="10"/>
    </row>
    <row r="187" ht="12.75">
      <c r="K187" s="10"/>
    </row>
    <row r="188" ht="12.75">
      <c r="K188" s="10"/>
    </row>
    <row r="189" ht="12.75">
      <c r="K189" s="10"/>
    </row>
    <row r="190" ht="12.75">
      <c r="K190" s="10"/>
    </row>
    <row r="191" ht="12.75">
      <c r="K191" s="10"/>
    </row>
    <row r="192" ht="12.75">
      <c r="K192" s="10"/>
    </row>
    <row r="193" ht="12.75">
      <c r="K193" s="10"/>
    </row>
    <row r="194" ht="12.75">
      <c r="K194" s="10"/>
    </row>
    <row r="195" ht="12.75">
      <c r="K195" s="10"/>
    </row>
    <row r="196" ht="12.75">
      <c r="K196" s="10"/>
    </row>
    <row r="197" ht="12.75">
      <c r="K197" s="10"/>
    </row>
    <row r="198" ht="12.75">
      <c r="K198" s="10"/>
    </row>
    <row r="199" ht="12.75">
      <c r="K199" s="10"/>
    </row>
    <row r="200" ht="12.75">
      <c r="K200" s="10"/>
    </row>
    <row r="201" ht="12.75">
      <c r="K201" s="10"/>
    </row>
    <row r="202" ht="12.75">
      <c r="K202" s="10"/>
    </row>
    <row r="203" ht="12.75">
      <c r="K203" s="10"/>
    </row>
    <row r="204" ht="12.75">
      <c r="K204" s="10"/>
    </row>
    <row r="205" ht="12.75">
      <c r="K205" s="10"/>
    </row>
    <row r="206" ht="12.75">
      <c r="K206" s="10"/>
    </row>
    <row r="207" ht="12.75">
      <c r="K207" s="10"/>
    </row>
    <row r="208" ht="12.75">
      <c r="K208" s="10"/>
    </row>
    <row r="209" ht="12.75">
      <c r="K209" s="10"/>
    </row>
    <row r="210" ht="12.75">
      <c r="K210" s="10"/>
    </row>
    <row r="211" ht="12.75">
      <c r="K211" s="10"/>
    </row>
    <row r="212" ht="12.75">
      <c r="K212" s="10"/>
    </row>
    <row r="213" ht="12.75">
      <c r="K213" s="10"/>
    </row>
    <row r="214" ht="12.75">
      <c r="K214" s="10"/>
    </row>
    <row r="215" ht="12.75">
      <c r="K215" s="10"/>
    </row>
    <row r="216" ht="12.75">
      <c r="K216" s="10"/>
    </row>
    <row r="217" ht="12.75">
      <c r="K217" s="10"/>
    </row>
    <row r="218" ht="12.75">
      <c r="K218" s="10"/>
    </row>
    <row r="219" ht="12.75">
      <c r="K219" s="10"/>
    </row>
    <row r="220" ht="12.75">
      <c r="K220" s="10"/>
    </row>
    <row r="221" ht="12.75">
      <c r="K221" s="10"/>
    </row>
    <row r="222" ht="12.75">
      <c r="K222" s="10"/>
    </row>
    <row r="223" ht="12.75">
      <c r="K223" s="10"/>
    </row>
    <row r="224" ht="12.75">
      <c r="K224" s="10"/>
    </row>
    <row r="225" ht="12.75">
      <c r="K225" s="10"/>
    </row>
    <row r="226" ht="12.75">
      <c r="K226" s="10"/>
    </row>
    <row r="227" ht="12.75">
      <c r="K227" s="10"/>
    </row>
    <row r="228" ht="12.75">
      <c r="K228" s="10"/>
    </row>
    <row r="229" ht="12.75">
      <c r="K229" s="10"/>
    </row>
  </sheetData>
  <sheetProtection/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zoomScale="80" zoomScaleNormal="80" zoomScalePageLayoutView="0" workbookViewId="0" topLeftCell="A43">
      <selection activeCell="J93" sqref="J93"/>
    </sheetView>
  </sheetViews>
  <sheetFormatPr defaultColWidth="9.140625" defaultRowHeight="12.75"/>
  <cols>
    <col min="1" max="1" width="4.421875" style="1" customWidth="1"/>
    <col min="2" max="2" width="18.57421875" style="1" customWidth="1"/>
    <col min="3" max="3" width="9.140625" style="1" customWidth="1"/>
    <col min="4" max="4" width="14.421875" style="1" customWidth="1"/>
    <col min="5" max="5" width="14.140625" style="1" customWidth="1"/>
    <col min="6" max="6" width="14.28125" style="1" customWidth="1"/>
    <col min="7" max="7" width="14.421875" style="260" bestFit="1" customWidth="1"/>
    <col min="8" max="8" width="14.57421875" style="260" customWidth="1"/>
    <col min="9" max="9" width="13.421875" style="260" bestFit="1" customWidth="1"/>
    <col min="10" max="10" width="8.8515625" style="1" customWidth="1"/>
    <col min="11" max="16384" width="9.140625" style="1" customWidth="1"/>
  </cols>
  <sheetData>
    <row r="1" spans="8:9" ht="15.75">
      <c r="H1" s="284" t="s">
        <v>115</v>
      </c>
      <c r="I1" s="285"/>
    </row>
    <row r="2" ht="15.75">
      <c r="B2" s="3" t="s">
        <v>18</v>
      </c>
    </row>
    <row r="3" ht="13.5" thickBot="1">
      <c r="H3" s="286" t="s">
        <v>1</v>
      </c>
    </row>
    <row r="4" spans="2:9" ht="13.5" thickBot="1">
      <c r="B4" s="27"/>
      <c r="C4" s="28"/>
      <c r="D4" s="29"/>
      <c r="E4" s="30" t="s">
        <v>237</v>
      </c>
      <c r="F4" s="31"/>
      <c r="G4" s="287"/>
      <c r="H4" s="288" t="s">
        <v>487</v>
      </c>
      <c r="I4" s="289"/>
    </row>
    <row r="5" spans="2:9" ht="27" customHeight="1" thickBot="1">
      <c r="B5" s="32" t="s">
        <v>3</v>
      </c>
      <c r="C5" s="33" t="s">
        <v>19</v>
      </c>
      <c r="D5" s="5" t="s">
        <v>20</v>
      </c>
      <c r="E5" s="5" t="s">
        <v>21</v>
      </c>
      <c r="F5" s="290" t="s">
        <v>240</v>
      </c>
      <c r="G5" s="290" t="s">
        <v>20</v>
      </c>
      <c r="H5" s="290" t="s">
        <v>21</v>
      </c>
      <c r="I5" s="290" t="s">
        <v>240</v>
      </c>
    </row>
    <row r="6" spans="2:9" ht="13.5" thickBot="1">
      <c r="B6" s="34"/>
      <c r="C6" s="35"/>
      <c r="D6" s="24">
        <v>241</v>
      </c>
      <c r="E6" s="24">
        <v>245</v>
      </c>
      <c r="F6" s="24">
        <v>243</v>
      </c>
      <c r="G6" s="291">
        <v>241</v>
      </c>
      <c r="H6" s="261">
        <v>245</v>
      </c>
      <c r="I6" s="261">
        <v>243</v>
      </c>
    </row>
    <row r="7" spans="2:10" ht="12.75">
      <c r="B7" s="11" t="s">
        <v>4</v>
      </c>
      <c r="C7" s="37">
        <v>911</v>
      </c>
      <c r="D7" s="12"/>
      <c r="E7" s="13">
        <v>787.56003</v>
      </c>
      <c r="F7" s="14"/>
      <c r="G7" s="292"/>
      <c r="H7" s="214">
        <v>583.56003</v>
      </c>
      <c r="I7" s="293"/>
      <c r="J7" s="36"/>
    </row>
    <row r="8" spans="2:10" ht="12.75">
      <c r="B8" s="11" t="s">
        <v>5</v>
      </c>
      <c r="C8" s="37">
        <v>911</v>
      </c>
      <c r="D8" s="13">
        <v>2014.55237</v>
      </c>
      <c r="E8" s="13"/>
      <c r="F8" s="14"/>
      <c r="G8" s="215">
        <v>2014.55237</v>
      </c>
      <c r="H8" s="214"/>
      <c r="I8" s="293"/>
      <c r="J8" s="36"/>
    </row>
    <row r="9" spans="2:10" ht="12.75">
      <c r="B9" s="11" t="s">
        <v>6</v>
      </c>
      <c r="C9" s="37">
        <v>911</v>
      </c>
      <c r="D9" s="13"/>
      <c r="E9" s="13"/>
      <c r="F9" s="14"/>
      <c r="G9" s="215"/>
      <c r="H9" s="214"/>
      <c r="I9" s="293"/>
      <c r="J9" s="36"/>
    </row>
    <row r="10" spans="2:10" ht="12.75">
      <c r="B10" s="11" t="s">
        <v>7</v>
      </c>
      <c r="C10" s="37">
        <v>911</v>
      </c>
      <c r="D10" s="13">
        <v>160.606</v>
      </c>
      <c r="E10" s="13"/>
      <c r="F10" s="14"/>
      <c r="G10" s="215">
        <v>474.14323</v>
      </c>
      <c r="H10" s="214"/>
      <c r="I10" s="293"/>
      <c r="J10" s="36"/>
    </row>
    <row r="11" spans="2:10" ht="12.75">
      <c r="B11" s="11" t="s">
        <v>213</v>
      </c>
      <c r="C11" s="37">
        <v>911</v>
      </c>
      <c r="D11" s="13"/>
      <c r="E11" s="13">
        <v>855.6255</v>
      </c>
      <c r="F11" s="14"/>
      <c r="G11" s="215"/>
      <c r="H11" s="214">
        <v>1911.5055</v>
      </c>
      <c r="I11" s="293"/>
      <c r="J11" s="36"/>
    </row>
    <row r="12" spans="2:10" ht="12.75">
      <c r="B12" s="15" t="s">
        <v>8</v>
      </c>
      <c r="C12" s="38">
        <v>911</v>
      </c>
      <c r="D12" s="13"/>
      <c r="E12" s="13"/>
      <c r="F12" s="14"/>
      <c r="G12" s="215"/>
      <c r="H12" s="214"/>
      <c r="I12" s="293"/>
      <c r="J12" s="36"/>
    </row>
    <row r="13" spans="2:10" ht="12.75">
      <c r="B13" s="218" t="s">
        <v>214</v>
      </c>
      <c r="C13" s="38">
        <v>911</v>
      </c>
      <c r="D13" s="13"/>
      <c r="E13" s="13"/>
      <c r="F13" s="14"/>
      <c r="G13" s="215"/>
      <c r="H13" s="214"/>
      <c r="I13" s="293"/>
      <c r="J13" s="36"/>
    </row>
    <row r="14" spans="2:10" ht="12.75">
      <c r="B14" s="11" t="s">
        <v>22</v>
      </c>
      <c r="C14" s="38">
        <v>911</v>
      </c>
      <c r="D14" s="13">
        <v>209.37798</v>
      </c>
      <c r="E14" s="13"/>
      <c r="F14" s="14"/>
      <c r="G14" s="214">
        <v>107.16398</v>
      </c>
      <c r="H14" s="214"/>
      <c r="I14" s="293"/>
      <c r="J14" s="36"/>
    </row>
    <row r="15" spans="2:10" ht="13.5" thickBot="1">
      <c r="B15" s="11" t="s">
        <v>10</v>
      </c>
      <c r="C15" s="37">
        <v>911</v>
      </c>
      <c r="D15" s="13"/>
      <c r="E15" s="16"/>
      <c r="F15" s="17"/>
      <c r="G15" s="215"/>
      <c r="H15" s="251"/>
      <c r="I15" s="294"/>
      <c r="J15" s="36"/>
    </row>
    <row r="16" spans="2:10" ht="16.5" customHeight="1" thickBot="1">
      <c r="B16" s="18" t="s">
        <v>17</v>
      </c>
      <c r="C16" s="24">
        <v>911</v>
      </c>
      <c r="D16" s="43">
        <f aca="true" t="shared" si="0" ref="D16:I16">SUM(D7:D15)</f>
        <v>2384.5363500000003</v>
      </c>
      <c r="E16" s="43">
        <f t="shared" si="0"/>
        <v>1643.18553</v>
      </c>
      <c r="F16" s="19">
        <f t="shared" si="0"/>
        <v>0</v>
      </c>
      <c r="G16" s="295">
        <f t="shared" si="0"/>
        <v>2595.85958</v>
      </c>
      <c r="H16" s="295">
        <f t="shared" si="0"/>
        <v>2495.06553</v>
      </c>
      <c r="I16" s="259">
        <f t="shared" si="0"/>
        <v>0</v>
      </c>
      <c r="J16" s="36"/>
    </row>
    <row r="17" ht="13.5" thickBot="1">
      <c r="J17" s="36"/>
    </row>
    <row r="18" spans="2:10" ht="13.5" thickBot="1">
      <c r="B18" s="27"/>
      <c r="C18" s="28"/>
      <c r="D18" s="29"/>
      <c r="E18" s="30" t="s">
        <v>237</v>
      </c>
      <c r="F18" s="31"/>
      <c r="G18" s="287"/>
      <c r="H18" s="288" t="s">
        <v>487</v>
      </c>
      <c r="I18" s="289"/>
      <c r="J18" s="36"/>
    </row>
    <row r="19" spans="2:10" ht="27" customHeight="1" thickBot="1">
      <c r="B19" s="32" t="s">
        <v>23</v>
      </c>
      <c r="C19" s="33" t="s">
        <v>19</v>
      </c>
      <c r="D19" s="5" t="s">
        <v>20</v>
      </c>
      <c r="E19" s="5" t="s">
        <v>21</v>
      </c>
      <c r="F19" s="290" t="s">
        <v>240</v>
      </c>
      <c r="G19" s="290" t="s">
        <v>20</v>
      </c>
      <c r="H19" s="290" t="s">
        <v>21</v>
      </c>
      <c r="I19" s="290" t="s">
        <v>240</v>
      </c>
      <c r="J19" s="36"/>
    </row>
    <row r="20" spans="2:10" ht="12.75">
      <c r="B20" s="34"/>
      <c r="C20" s="35"/>
      <c r="D20" s="8">
        <v>241</v>
      </c>
      <c r="E20" s="8">
        <v>245</v>
      </c>
      <c r="F20" s="8">
        <v>243</v>
      </c>
      <c r="G20" s="261">
        <v>241</v>
      </c>
      <c r="H20" s="261">
        <v>245</v>
      </c>
      <c r="I20" s="261">
        <v>243</v>
      </c>
      <c r="J20" s="36"/>
    </row>
    <row r="21" spans="2:10" ht="12.75">
      <c r="B21" s="11" t="s">
        <v>4</v>
      </c>
      <c r="C21" s="44">
        <v>912</v>
      </c>
      <c r="D21" s="13"/>
      <c r="E21" s="13"/>
      <c r="F21" s="14"/>
      <c r="G21" s="214"/>
      <c r="H21" s="214"/>
      <c r="I21" s="293">
        <v>1145.591</v>
      </c>
      <c r="J21" s="36"/>
    </row>
    <row r="22" spans="2:10" ht="12.75">
      <c r="B22" s="11" t="s">
        <v>5</v>
      </c>
      <c r="C22" s="44">
        <v>912</v>
      </c>
      <c r="D22" s="13"/>
      <c r="E22" s="13"/>
      <c r="F22" s="20">
        <v>512.70973</v>
      </c>
      <c r="G22" s="214"/>
      <c r="H22" s="214"/>
      <c r="I22" s="296">
        <v>658.94673</v>
      </c>
      <c r="J22" s="36"/>
    </row>
    <row r="23" spans="2:10" ht="12.75">
      <c r="B23" s="11" t="s">
        <v>6</v>
      </c>
      <c r="C23" s="44">
        <v>912</v>
      </c>
      <c r="D23" s="13"/>
      <c r="E23" s="13"/>
      <c r="F23" s="14">
        <v>48.61662</v>
      </c>
      <c r="G23" s="214"/>
      <c r="H23" s="214"/>
      <c r="I23" s="293">
        <v>79.50162</v>
      </c>
      <c r="J23" s="36"/>
    </row>
    <row r="24" spans="2:10" ht="12.75">
      <c r="B24" s="11" t="s">
        <v>7</v>
      </c>
      <c r="C24" s="44">
        <v>912</v>
      </c>
      <c r="D24" s="13"/>
      <c r="E24" s="13"/>
      <c r="F24" s="14">
        <v>279.517</v>
      </c>
      <c r="G24" s="214"/>
      <c r="H24" s="214"/>
      <c r="I24" s="293">
        <v>230.4186</v>
      </c>
      <c r="J24" s="36"/>
    </row>
    <row r="25" spans="2:10" ht="12.75">
      <c r="B25" s="11" t="s">
        <v>213</v>
      </c>
      <c r="C25" s="44">
        <v>912</v>
      </c>
      <c r="D25" s="13"/>
      <c r="E25" s="13"/>
      <c r="F25" s="14">
        <v>321.80897</v>
      </c>
      <c r="G25" s="214"/>
      <c r="H25" s="214"/>
      <c r="I25" s="293">
        <v>307.02967</v>
      </c>
      <c r="J25" s="36"/>
    </row>
    <row r="26" spans="2:10" ht="12.75">
      <c r="B26" s="15" t="s">
        <v>8</v>
      </c>
      <c r="C26" s="45">
        <v>912</v>
      </c>
      <c r="D26" s="13"/>
      <c r="E26" s="13"/>
      <c r="F26" s="14"/>
      <c r="G26" s="214"/>
      <c r="H26" s="214"/>
      <c r="I26" s="293"/>
      <c r="J26" s="36"/>
    </row>
    <row r="27" spans="2:10" ht="12.75">
      <c r="B27" s="218" t="s">
        <v>214</v>
      </c>
      <c r="C27" s="44">
        <v>912</v>
      </c>
      <c r="D27" s="13"/>
      <c r="E27" s="13"/>
      <c r="F27" s="14">
        <v>342.6248</v>
      </c>
      <c r="G27" s="214"/>
      <c r="H27" s="214"/>
      <c r="I27" s="293">
        <v>458.15807</v>
      </c>
      <c r="J27" s="36"/>
    </row>
    <row r="28" spans="2:10" ht="12.75">
      <c r="B28" s="11" t="s">
        <v>22</v>
      </c>
      <c r="C28" s="44">
        <v>912</v>
      </c>
      <c r="D28" s="13"/>
      <c r="E28" s="13"/>
      <c r="F28" s="14">
        <v>41.0547</v>
      </c>
      <c r="G28" s="214"/>
      <c r="H28" s="214"/>
      <c r="I28" s="293">
        <v>58.54586</v>
      </c>
      <c r="J28" s="36"/>
    </row>
    <row r="29" spans="2:10" ht="13.5" thickBot="1">
      <c r="B29" s="11" t="s">
        <v>10</v>
      </c>
      <c r="C29" s="44">
        <v>912</v>
      </c>
      <c r="D29" s="16"/>
      <c r="E29" s="16"/>
      <c r="F29" s="17"/>
      <c r="G29" s="251"/>
      <c r="H29" s="251"/>
      <c r="I29" s="294"/>
      <c r="J29" s="36"/>
    </row>
    <row r="30" spans="2:10" ht="13.5" thickBot="1">
      <c r="B30" s="18" t="s">
        <v>17</v>
      </c>
      <c r="C30" s="24">
        <v>912</v>
      </c>
      <c r="D30" s="43">
        <f aca="true" t="shared" si="1" ref="D30:I30">SUM(D21:D29)</f>
        <v>0</v>
      </c>
      <c r="E30" s="43">
        <f t="shared" si="1"/>
        <v>0</v>
      </c>
      <c r="F30" s="19">
        <f t="shared" si="1"/>
        <v>1546.33182</v>
      </c>
      <c r="G30" s="295">
        <f t="shared" si="1"/>
        <v>0</v>
      </c>
      <c r="H30" s="295">
        <f t="shared" si="1"/>
        <v>0</v>
      </c>
      <c r="I30" s="259">
        <f t="shared" si="1"/>
        <v>2938.19155</v>
      </c>
      <c r="J30" s="36"/>
    </row>
    <row r="31" ht="13.5" thickBot="1">
      <c r="J31" s="36"/>
    </row>
    <row r="32" spans="2:10" ht="13.5" thickBot="1">
      <c r="B32" s="27"/>
      <c r="C32" s="28"/>
      <c r="D32" s="29"/>
      <c r="E32" s="30" t="s">
        <v>237</v>
      </c>
      <c r="F32" s="31"/>
      <c r="G32" s="287"/>
      <c r="H32" s="288" t="s">
        <v>487</v>
      </c>
      <c r="I32" s="289"/>
      <c r="J32" s="36"/>
    </row>
    <row r="33" spans="2:10" ht="27" customHeight="1" thickBot="1">
      <c r="B33" s="32" t="s">
        <v>12</v>
      </c>
      <c r="C33" s="33" t="s">
        <v>19</v>
      </c>
      <c r="D33" s="5" t="s">
        <v>20</v>
      </c>
      <c r="E33" s="5" t="s">
        <v>21</v>
      </c>
      <c r="F33" s="290" t="s">
        <v>240</v>
      </c>
      <c r="G33" s="290" t="s">
        <v>20</v>
      </c>
      <c r="H33" s="290" t="s">
        <v>21</v>
      </c>
      <c r="I33" s="290" t="s">
        <v>240</v>
      </c>
      <c r="J33" s="36"/>
    </row>
    <row r="34" spans="2:10" ht="13.5" thickBot="1">
      <c r="B34" s="34"/>
      <c r="C34" s="35"/>
      <c r="D34" s="24">
        <v>241</v>
      </c>
      <c r="E34" s="8">
        <v>245</v>
      </c>
      <c r="F34" s="8">
        <v>243</v>
      </c>
      <c r="G34" s="291">
        <v>241</v>
      </c>
      <c r="H34" s="261">
        <v>245</v>
      </c>
      <c r="I34" s="261">
        <v>243</v>
      </c>
      <c r="J34" s="36"/>
    </row>
    <row r="35" spans="2:10" ht="12.75">
      <c r="B35" s="11" t="s">
        <v>4</v>
      </c>
      <c r="C35" s="44">
        <v>914</v>
      </c>
      <c r="D35" s="12"/>
      <c r="E35" s="13">
        <v>533.94</v>
      </c>
      <c r="F35" s="14"/>
      <c r="G35" s="292"/>
      <c r="H35" s="214">
        <v>920.7222</v>
      </c>
      <c r="I35" s="293"/>
      <c r="J35" s="36"/>
    </row>
    <row r="36" spans="2:10" ht="12.75">
      <c r="B36" s="11" t="s">
        <v>5</v>
      </c>
      <c r="C36" s="44">
        <v>914</v>
      </c>
      <c r="D36" s="13">
        <v>8773.45667</v>
      </c>
      <c r="E36" s="13"/>
      <c r="F36" s="14"/>
      <c r="G36" s="214">
        <v>8161.23201</v>
      </c>
      <c r="H36" s="214"/>
      <c r="I36" s="293"/>
      <c r="J36" s="36"/>
    </row>
    <row r="37" spans="2:10" ht="12.75">
      <c r="B37" s="11" t="s">
        <v>6</v>
      </c>
      <c r="C37" s="44">
        <v>914</v>
      </c>
      <c r="D37" s="13">
        <v>172.53082</v>
      </c>
      <c r="E37" s="13"/>
      <c r="F37" s="14"/>
      <c r="G37" s="214">
        <v>389.86643</v>
      </c>
      <c r="H37" s="214"/>
      <c r="I37" s="293"/>
      <c r="J37" s="36"/>
    </row>
    <row r="38" spans="2:10" ht="12.75">
      <c r="B38" s="11" t="s">
        <v>7</v>
      </c>
      <c r="C38" s="44">
        <v>914</v>
      </c>
      <c r="D38" s="13">
        <v>111796.51</v>
      </c>
      <c r="E38" s="13"/>
      <c r="F38" s="14"/>
      <c r="G38" s="214">
        <v>127604.0733</v>
      </c>
      <c r="H38" s="214"/>
      <c r="I38" s="293"/>
      <c r="J38" s="36"/>
    </row>
    <row r="39" spans="2:10" ht="12.75">
      <c r="B39" s="11" t="s">
        <v>213</v>
      </c>
      <c r="C39" s="44">
        <v>914</v>
      </c>
      <c r="D39" s="13"/>
      <c r="E39" s="13">
        <v>3641.26274</v>
      </c>
      <c r="F39" s="14"/>
      <c r="G39" s="214"/>
      <c r="H39" s="214">
        <v>9321.09296</v>
      </c>
      <c r="I39" s="293"/>
      <c r="J39" s="36"/>
    </row>
    <row r="40" spans="2:10" ht="12.75">
      <c r="B40" s="15" t="s">
        <v>8</v>
      </c>
      <c r="C40" s="45">
        <v>914</v>
      </c>
      <c r="D40" s="13">
        <v>352.6916</v>
      </c>
      <c r="E40" s="13"/>
      <c r="F40" s="14"/>
      <c r="G40" s="214">
        <v>369.96039</v>
      </c>
      <c r="H40" s="214"/>
      <c r="I40" s="293"/>
      <c r="J40" s="36"/>
    </row>
    <row r="41" spans="2:10" ht="12.75">
      <c r="B41" s="218" t="s">
        <v>214</v>
      </c>
      <c r="C41" s="44">
        <v>914</v>
      </c>
      <c r="D41" s="13">
        <v>73656.42092</v>
      </c>
      <c r="E41" s="16"/>
      <c r="F41" s="17"/>
      <c r="G41" s="214">
        <v>61819.19019</v>
      </c>
      <c r="H41" s="251"/>
      <c r="I41" s="294"/>
      <c r="J41" s="36"/>
    </row>
    <row r="42" spans="2:10" ht="12.75">
      <c r="B42" s="11" t="s">
        <v>22</v>
      </c>
      <c r="C42" s="44">
        <v>914</v>
      </c>
      <c r="D42" s="13">
        <v>1211.14413</v>
      </c>
      <c r="E42" s="16"/>
      <c r="F42" s="17"/>
      <c r="G42" s="214">
        <v>1649.84776</v>
      </c>
      <c r="H42" s="251"/>
      <c r="I42" s="294"/>
      <c r="J42" s="36"/>
    </row>
    <row r="43" spans="2:10" ht="13.5" thickBot="1">
      <c r="B43" s="11" t="s">
        <v>10</v>
      </c>
      <c r="C43" s="44">
        <v>914</v>
      </c>
      <c r="D43" s="13"/>
      <c r="E43" s="16"/>
      <c r="F43" s="17"/>
      <c r="G43" s="214"/>
      <c r="H43" s="251"/>
      <c r="I43" s="294"/>
      <c r="J43" s="36"/>
    </row>
    <row r="44" spans="2:10" ht="13.5" thickBot="1">
      <c r="B44" s="18" t="s">
        <v>17</v>
      </c>
      <c r="C44" s="24">
        <v>914</v>
      </c>
      <c r="D44" s="43">
        <f aca="true" t="shared" si="2" ref="D44:I44">SUM(D35:D43)</f>
        <v>195962.75414</v>
      </c>
      <c r="E44" s="43">
        <f t="shared" si="2"/>
        <v>4175.202740000001</v>
      </c>
      <c r="F44" s="19">
        <f t="shared" si="2"/>
        <v>0</v>
      </c>
      <c r="G44" s="295">
        <f t="shared" si="2"/>
        <v>199994.17007999998</v>
      </c>
      <c r="H44" s="295">
        <f t="shared" si="2"/>
        <v>10241.81516</v>
      </c>
      <c r="I44" s="259">
        <f t="shared" si="2"/>
        <v>0</v>
      </c>
      <c r="J44" s="36"/>
    </row>
    <row r="45" ht="13.5" thickBot="1">
      <c r="J45" s="36"/>
    </row>
    <row r="46" spans="2:10" ht="13.5" thickBot="1">
      <c r="B46" s="27"/>
      <c r="C46" s="28"/>
      <c r="D46" s="29"/>
      <c r="E46" s="30" t="s">
        <v>237</v>
      </c>
      <c r="F46" s="31"/>
      <c r="G46" s="287"/>
      <c r="H46" s="288" t="s">
        <v>487</v>
      </c>
      <c r="I46" s="289"/>
      <c r="J46" s="36"/>
    </row>
    <row r="47" spans="2:10" ht="27" customHeight="1" thickBot="1">
      <c r="B47" s="32" t="s">
        <v>24</v>
      </c>
      <c r="C47" s="33" t="s">
        <v>19</v>
      </c>
      <c r="D47" s="5" t="s">
        <v>20</v>
      </c>
      <c r="E47" s="5" t="s">
        <v>21</v>
      </c>
      <c r="F47" s="290" t="s">
        <v>240</v>
      </c>
      <c r="G47" s="290" t="s">
        <v>20</v>
      </c>
      <c r="H47" s="290" t="s">
        <v>21</v>
      </c>
      <c r="I47" s="290" t="s">
        <v>240</v>
      </c>
      <c r="J47" s="36"/>
    </row>
    <row r="48" spans="2:10" ht="12.75">
      <c r="B48" s="34"/>
      <c r="C48" s="35"/>
      <c r="D48" s="8">
        <v>241</v>
      </c>
      <c r="E48" s="8">
        <v>245</v>
      </c>
      <c r="F48" s="8">
        <v>243</v>
      </c>
      <c r="G48" s="261">
        <v>241</v>
      </c>
      <c r="H48" s="261">
        <v>245</v>
      </c>
      <c r="I48" s="261">
        <v>243</v>
      </c>
      <c r="J48" s="36"/>
    </row>
    <row r="49" spans="2:10" ht="12.75">
      <c r="B49" s="11" t="s">
        <v>4</v>
      </c>
      <c r="C49" s="44">
        <v>916</v>
      </c>
      <c r="D49" s="13"/>
      <c r="E49" s="13">
        <v>6533.08732</v>
      </c>
      <c r="F49" s="14"/>
      <c r="G49" s="214"/>
      <c r="H49" s="214">
        <v>10177.11962</v>
      </c>
      <c r="I49" s="293"/>
      <c r="J49" s="36"/>
    </row>
    <row r="50" spans="2:10" ht="12.75">
      <c r="B50" s="11" t="s">
        <v>5</v>
      </c>
      <c r="C50" s="44">
        <v>916</v>
      </c>
      <c r="D50" s="13">
        <v>8083.25267</v>
      </c>
      <c r="E50" s="13"/>
      <c r="F50" s="14"/>
      <c r="G50" s="214">
        <v>13957.66523</v>
      </c>
      <c r="H50" s="214"/>
      <c r="I50" s="293"/>
      <c r="J50" s="36"/>
    </row>
    <row r="51" spans="2:10" ht="12.75">
      <c r="B51" s="11" t="s">
        <v>6</v>
      </c>
      <c r="C51" s="44">
        <v>916</v>
      </c>
      <c r="D51" s="13">
        <v>532.07137</v>
      </c>
      <c r="E51" s="13"/>
      <c r="F51" s="14"/>
      <c r="G51" s="214">
        <v>589.09681</v>
      </c>
      <c r="H51" s="214"/>
      <c r="I51" s="293"/>
      <c r="J51" s="36"/>
    </row>
    <row r="52" spans="2:10" ht="12.75">
      <c r="B52" s="11" t="s">
        <v>7</v>
      </c>
      <c r="C52" s="44">
        <v>916</v>
      </c>
      <c r="D52" s="13">
        <v>2797.65</v>
      </c>
      <c r="E52" s="13"/>
      <c r="F52" s="14"/>
      <c r="G52" s="214">
        <v>3340.59376</v>
      </c>
      <c r="H52" s="214"/>
      <c r="I52" s="293"/>
      <c r="J52" s="36"/>
    </row>
    <row r="53" spans="2:10" ht="12.75">
      <c r="B53" s="11" t="s">
        <v>213</v>
      </c>
      <c r="C53" s="44">
        <v>916</v>
      </c>
      <c r="D53" s="13"/>
      <c r="E53" s="13">
        <v>4427.1743</v>
      </c>
      <c r="F53" s="14"/>
      <c r="G53" s="214"/>
      <c r="H53" s="214">
        <v>20817.45691</v>
      </c>
      <c r="I53" s="293"/>
      <c r="J53" s="36"/>
    </row>
    <row r="54" spans="2:10" ht="12.75">
      <c r="B54" s="15" t="s">
        <v>8</v>
      </c>
      <c r="C54" s="45">
        <v>916</v>
      </c>
      <c r="D54" s="13">
        <v>454.6041</v>
      </c>
      <c r="E54" s="13"/>
      <c r="F54" s="14"/>
      <c r="G54" s="214">
        <v>454.6041</v>
      </c>
      <c r="H54" s="214"/>
      <c r="I54" s="293"/>
      <c r="J54" s="36"/>
    </row>
    <row r="55" spans="2:10" ht="12.75">
      <c r="B55" s="218" t="s">
        <v>214</v>
      </c>
      <c r="C55" s="44">
        <v>916</v>
      </c>
      <c r="D55" s="13">
        <v>5818.581</v>
      </c>
      <c r="E55" s="13"/>
      <c r="F55" s="14"/>
      <c r="G55" s="214">
        <v>11411.08654</v>
      </c>
      <c r="H55" s="214"/>
      <c r="I55" s="293"/>
      <c r="J55" s="36"/>
    </row>
    <row r="56" spans="2:10" ht="12.75">
      <c r="B56" s="11" t="s">
        <v>22</v>
      </c>
      <c r="C56" s="44">
        <v>916</v>
      </c>
      <c r="D56" s="13">
        <v>1304.8966</v>
      </c>
      <c r="E56" s="13"/>
      <c r="F56" s="14"/>
      <c r="G56" s="214">
        <v>1650.3998</v>
      </c>
      <c r="H56" s="214"/>
      <c r="I56" s="293"/>
      <c r="J56" s="36"/>
    </row>
    <row r="57" spans="2:10" ht="13.5" thickBot="1">
      <c r="B57" s="11" t="s">
        <v>10</v>
      </c>
      <c r="C57" s="44">
        <v>916</v>
      </c>
      <c r="D57" s="214"/>
      <c r="E57" s="16"/>
      <c r="F57" s="17"/>
      <c r="G57" s="214"/>
      <c r="H57" s="251"/>
      <c r="I57" s="294"/>
      <c r="J57" s="36"/>
    </row>
    <row r="58" spans="2:10" ht="13.5" thickBot="1">
      <c r="B58" s="18" t="s">
        <v>17</v>
      </c>
      <c r="C58" s="24">
        <v>916</v>
      </c>
      <c r="D58" s="43">
        <f aca="true" t="shared" si="3" ref="D58:I58">SUM(D49:D57)</f>
        <v>18991.05574</v>
      </c>
      <c r="E58" s="43">
        <f t="shared" si="3"/>
        <v>10960.26162</v>
      </c>
      <c r="F58" s="19">
        <f t="shared" si="3"/>
        <v>0</v>
      </c>
      <c r="G58" s="295">
        <f t="shared" si="3"/>
        <v>31403.44624</v>
      </c>
      <c r="H58" s="295">
        <f t="shared" si="3"/>
        <v>30994.57653</v>
      </c>
      <c r="I58" s="259">
        <f t="shared" si="3"/>
        <v>0</v>
      </c>
      <c r="J58" s="36"/>
    </row>
    <row r="59" ht="13.5" thickBot="1">
      <c r="J59" s="36"/>
    </row>
    <row r="60" spans="2:10" ht="13.5" thickBot="1">
      <c r="B60" s="27"/>
      <c r="C60" s="28"/>
      <c r="D60" s="29"/>
      <c r="E60" s="30" t="s">
        <v>237</v>
      </c>
      <c r="F60" s="31"/>
      <c r="G60" s="287"/>
      <c r="H60" s="288" t="s">
        <v>487</v>
      </c>
      <c r="I60" s="289"/>
      <c r="J60" s="36"/>
    </row>
    <row r="61" spans="2:10" ht="27" customHeight="1" thickBot="1">
      <c r="B61" s="32" t="s">
        <v>25</v>
      </c>
      <c r="C61" s="33" t="s">
        <v>19</v>
      </c>
      <c r="D61" s="5" t="s">
        <v>20</v>
      </c>
      <c r="E61" s="5" t="s">
        <v>21</v>
      </c>
      <c r="F61" s="290" t="s">
        <v>240</v>
      </c>
      <c r="G61" s="290" t="s">
        <v>20</v>
      </c>
      <c r="H61" s="290" t="s">
        <v>21</v>
      </c>
      <c r="I61" s="290" t="s">
        <v>240</v>
      </c>
      <c r="J61" s="36"/>
    </row>
    <row r="62" spans="2:10" ht="13.5" thickBot="1">
      <c r="B62" s="46"/>
      <c r="C62" s="31"/>
      <c r="D62" s="8">
        <v>241</v>
      </c>
      <c r="E62" s="8">
        <v>245</v>
      </c>
      <c r="F62" s="8">
        <v>243</v>
      </c>
      <c r="G62" s="261">
        <v>241</v>
      </c>
      <c r="H62" s="261">
        <v>245</v>
      </c>
      <c r="I62" s="261">
        <v>243</v>
      </c>
      <c r="J62" s="36"/>
    </row>
    <row r="63" spans="2:10" ht="12.75">
      <c r="B63" s="47" t="s">
        <v>4</v>
      </c>
      <c r="C63" s="48"/>
      <c r="D63" s="49">
        <f aca="true" t="shared" si="4" ref="D63:I71">D7+D21+D35+D49</f>
        <v>0</v>
      </c>
      <c r="E63" s="50">
        <f t="shared" si="4"/>
        <v>7854.58735</v>
      </c>
      <c r="F63" s="51">
        <f t="shared" si="4"/>
        <v>0</v>
      </c>
      <c r="G63" s="297">
        <f t="shared" si="4"/>
        <v>0</v>
      </c>
      <c r="H63" s="298">
        <f t="shared" si="4"/>
        <v>11681.40185</v>
      </c>
      <c r="I63" s="299">
        <f t="shared" si="4"/>
        <v>1145.591</v>
      </c>
      <c r="J63" s="36"/>
    </row>
    <row r="64" spans="2:10" ht="12.75">
      <c r="B64" s="47" t="s">
        <v>5</v>
      </c>
      <c r="C64" s="48"/>
      <c r="D64" s="50">
        <f t="shared" si="4"/>
        <v>18871.26171</v>
      </c>
      <c r="E64" s="50">
        <f t="shared" si="4"/>
        <v>0</v>
      </c>
      <c r="F64" s="51">
        <f t="shared" si="4"/>
        <v>512.70973</v>
      </c>
      <c r="G64" s="298">
        <f t="shared" si="4"/>
        <v>24133.44961</v>
      </c>
      <c r="H64" s="298">
        <f t="shared" si="4"/>
        <v>0</v>
      </c>
      <c r="I64" s="299">
        <f t="shared" si="4"/>
        <v>658.94673</v>
      </c>
      <c r="J64" s="36"/>
    </row>
    <row r="65" spans="2:10" ht="12.75">
      <c r="B65" s="47" t="s">
        <v>6</v>
      </c>
      <c r="C65" s="48"/>
      <c r="D65" s="50">
        <f t="shared" si="4"/>
        <v>704.6021900000001</v>
      </c>
      <c r="E65" s="49">
        <f t="shared" si="4"/>
        <v>0</v>
      </c>
      <c r="F65" s="51">
        <f t="shared" si="4"/>
        <v>48.61662</v>
      </c>
      <c r="G65" s="298">
        <f t="shared" si="4"/>
        <v>978.96324</v>
      </c>
      <c r="H65" s="297">
        <f t="shared" si="4"/>
        <v>0</v>
      </c>
      <c r="I65" s="299">
        <f t="shared" si="4"/>
        <v>79.50162</v>
      </c>
      <c r="J65" s="36"/>
    </row>
    <row r="66" spans="2:10" ht="12.75">
      <c r="B66" s="52" t="s">
        <v>7</v>
      </c>
      <c r="C66" s="53"/>
      <c r="D66" s="50">
        <f t="shared" si="4"/>
        <v>114754.76599999999</v>
      </c>
      <c r="E66" s="49">
        <f t="shared" si="4"/>
        <v>0</v>
      </c>
      <c r="F66" s="51">
        <f t="shared" si="4"/>
        <v>279.517</v>
      </c>
      <c r="G66" s="298">
        <f t="shared" si="4"/>
        <v>131418.81029</v>
      </c>
      <c r="H66" s="297">
        <f t="shared" si="4"/>
        <v>0</v>
      </c>
      <c r="I66" s="299">
        <f t="shared" si="4"/>
        <v>230.4186</v>
      </c>
      <c r="J66" s="36"/>
    </row>
    <row r="67" spans="2:10" ht="12.75">
      <c r="B67" s="11" t="s">
        <v>213</v>
      </c>
      <c r="C67" s="53"/>
      <c r="D67" s="49">
        <f t="shared" si="4"/>
        <v>0</v>
      </c>
      <c r="E67" s="50">
        <f t="shared" si="4"/>
        <v>8924.062539999999</v>
      </c>
      <c r="F67" s="51">
        <f t="shared" si="4"/>
        <v>321.80897</v>
      </c>
      <c r="G67" s="297">
        <f t="shared" si="4"/>
        <v>0</v>
      </c>
      <c r="H67" s="298">
        <f t="shared" si="4"/>
        <v>32050.055370000002</v>
      </c>
      <c r="I67" s="299">
        <f t="shared" si="4"/>
        <v>307.02967</v>
      </c>
      <c r="J67" s="36"/>
    </row>
    <row r="68" spans="2:10" ht="12.75">
      <c r="B68" s="54" t="s">
        <v>8</v>
      </c>
      <c r="C68" s="53"/>
      <c r="D68" s="50">
        <f t="shared" si="4"/>
        <v>807.2957</v>
      </c>
      <c r="E68" s="49">
        <f t="shared" si="4"/>
        <v>0</v>
      </c>
      <c r="F68" s="55">
        <f t="shared" si="4"/>
        <v>0</v>
      </c>
      <c r="G68" s="298">
        <f t="shared" si="4"/>
        <v>824.56449</v>
      </c>
      <c r="H68" s="297">
        <f t="shared" si="4"/>
        <v>0</v>
      </c>
      <c r="I68" s="300">
        <f t="shared" si="4"/>
        <v>0</v>
      </c>
      <c r="J68" s="36"/>
    </row>
    <row r="69" spans="2:10" ht="12.75">
      <c r="B69" s="218" t="s">
        <v>214</v>
      </c>
      <c r="C69" s="53"/>
      <c r="D69" s="49">
        <f t="shared" si="4"/>
        <v>79475.00192000001</v>
      </c>
      <c r="E69" s="50">
        <f t="shared" si="4"/>
        <v>0</v>
      </c>
      <c r="F69" s="51">
        <f t="shared" si="4"/>
        <v>342.6248</v>
      </c>
      <c r="G69" s="298">
        <f t="shared" si="4"/>
        <v>73230.27673</v>
      </c>
      <c r="H69" s="298">
        <f t="shared" si="4"/>
        <v>0</v>
      </c>
      <c r="I69" s="299">
        <f t="shared" si="4"/>
        <v>458.15807</v>
      </c>
      <c r="J69" s="36"/>
    </row>
    <row r="70" spans="2:10" ht="12.75">
      <c r="B70" s="52" t="s">
        <v>22</v>
      </c>
      <c r="C70" s="53"/>
      <c r="D70" s="50">
        <f t="shared" si="4"/>
        <v>2725.41871</v>
      </c>
      <c r="E70" s="49">
        <f t="shared" si="4"/>
        <v>0</v>
      </c>
      <c r="F70" s="51">
        <f t="shared" si="4"/>
        <v>41.0547</v>
      </c>
      <c r="G70" s="298">
        <f t="shared" si="4"/>
        <v>3407.41154</v>
      </c>
      <c r="H70" s="297">
        <f t="shared" si="4"/>
        <v>0</v>
      </c>
      <c r="I70" s="299">
        <f t="shared" si="4"/>
        <v>58.54586</v>
      </c>
      <c r="J70" s="36"/>
    </row>
    <row r="71" spans="2:10" ht="13.5" thickBot="1">
      <c r="B71" s="52" t="s">
        <v>10</v>
      </c>
      <c r="C71" s="56"/>
      <c r="D71" s="50">
        <f t="shared" si="4"/>
        <v>0</v>
      </c>
      <c r="E71" s="49">
        <f t="shared" si="4"/>
        <v>0</v>
      </c>
      <c r="F71" s="51">
        <f t="shared" si="4"/>
        <v>0</v>
      </c>
      <c r="G71" s="298">
        <f t="shared" si="4"/>
        <v>0</v>
      </c>
      <c r="H71" s="297">
        <f t="shared" si="4"/>
        <v>0</v>
      </c>
      <c r="I71" s="299">
        <f t="shared" si="4"/>
        <v>0</v>
      </c>
      <c r="J71" s="36"/>
    </row>
    <row r="72" spans="2:10" ht="13.5" thickBot="1">
      <c r="B72" s="18" t="s">
        <v>17</v>
      </c>
      <c r="C72" s="31"/>
      <c r="D72" s="19">
        <f aca="true" t="shared" si="5" ref="D72:I72">SUM(D63:D71)</f>
        <v>217338.34623</v>
      </c>
      <c r="E72" s="19">
        <f t="shared" si="5"/>
        <v>16778.64989</v>
      </c>
      <c r="F72" s="19">
        <f t="shared" si="5"/>
        <v>1546.33182</v>
      </c>
      <c r="G72" s="259">
        <f t="shared" si="5"/>
        <v>233993.47589999996</v>
      </c>
      <c r="H72" s="259">
        <f t="shared" si="5"/>
        <v>43731.457220000004</v>
      </c>
      <c r="I72" s="259">
        <f t="shared" si="5"/>
        <v>2938.19155</v>
      </c>
      <c r="J72" s="36"/>
    </row>
    <row r="73" ht="12.75">
      <c r="J73" s="36"/>
    </row>
    <row r="74" ht="12.75">
      <c r="J74" s="36"/>
    </row>
    <row r="75" ht="12.75">
      <c r="J75" s="36"/>
    </row>
    <row r="76" ht="12.75">
      <c r="J76" s="36"/>
    </row>
    <row r="77" ht="12.75">
      <c r="J77" s="36"/>
    </row>
    <row r="78" ht="12.75">
      <c r="J78" s="36"/>
    </row>
    <row r="79" ht="12.75">
      <c r="J79" s="36"/>
    </row>
    <row r="80" ht="12.75">
      <c r="J80" s="36"/>
    </row>
    <row r="81" ht="12.75">
      <c r="J81" s="36"/>
    </row>
    <row r="82" ht="12.75">
      <c r="J82" s="36"/>
    </row>
    <row r="83" ht="12.75">
      <c r="J83" s="36"/>
    </row>
    <row r="84" ht="12.75">
      <c r="J84" s="36"/>
    </row>
  </sheetData>
  <sheetProtection/>
  <printOptions horizontalCentered="1" verticalCentered="1"/>
  <pageMargins left="0" right="0" top="0.3937007874015748" bottom="0.3937007874015748" header="0.1968503937007874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zoomScale="80" zoomScaleNormal="80" zoomScalePageLayoutView="0" workbookViewId="0" topLeftCell="A7">
      <selection activeCell="H42" sqref="H42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14.8515625" style="1" bestFit="1" customWidth="1"/>
    <col min="4" max="4" width="13.28125" style="1" customWidth="1"/>
    <col min="5" max="5" width="15.421875" style="1" customWidth="1"/>
    <col min="6" max="7" width="9.140625" style="1" customWidth="1"/>
    <col min="8" max="8" width="14.28125" style="1" customWidth="1"/>
    <col min="9" max="16384" width="9.140625" style="1" customWidth="1"/>
  </cols>
  <sheetData>
    <row r="1" ht="15.75">
      <c r="E1" s="2" t="s">
        <v>212</v>
      </c>
    </row>
    <row r="2" ht="15.75">
      <c r="B2" s="3" t="s">
        <v>239</v>
      </c>
    </row>
    <row r="3" ht="13.5" customHeight="1">
      <c r="B3" s="4" t="s">
        <v>0</v>
      </c>
    </row>
    <row r="4" ht="13.5" thickBot="1">
      <c r="E4" s="4" t="s">
        <v>1</v>
      </c>
    </row>
    <row r="5" spans="2:7" ht="43.5" customHeight="1" thickBot="1">
      <c r="B5" s="58"/>
      <c r="C5" s="583" t="s">
        <v>251</v>
      </c>
      <c r="D5" s="584" t="s">
        <v>2</v>
      </c>
      <c r="E5" s="580" t="s">
        <v>488</v>
      </c>
      <c r="F5" s="7"/>
      <c r="G5" s="7"/>
    </row>
    <row r="6" spans="2:5" ht="13.5" thickBot="1">
      <c r="B6" s="575" t="s">
        <v>3</v>
      </c>
      <c r="C6" s="585">
        <v>1</v>
      </c>
      <c r="D6" s="586">
        <v>2</v>
      </c>
      <c r="E6" s="576">
        <v>3</v>
      </c>
    </row>
    <row r="7" spans="2:7" ht="13.5" thickTop="1">
      <c r="B7" s="578" t="s">
        <v>4</v>
      </c>
      <c r="C7" s="587">
        <f>penFondy!H6</f>
        <v>583.56003</v>
      </c>
      <c r="D7" s="588">
        <v>300</v>
      </c>
      <c r="E7" s="581">
        <f aca="true" t="shared" si="0" ref="E7:E15">SUM(C7:D7)</f>
        <v>883.56003</v>
      </c>
      <c r="G7" s="10"/>
    </row>
    <row r="8" spans="2:7" ht="12.75">
      <c r="B8" s="52" t="s">
        <v>5</v>
      </c>
      <c r="C8" s="589">
        <f>penFondy!H7</f>
        <v>1414.3973700000001</v>
      </c>
      <c r="D8" s="293">
        <v>651</v>
      </c>
      <c r="E8" s="582">
        <f t="shared" si="0"/>
        <v>2065.39737</v>
      </c>
      <c r="G8" s="10"/>
    </row>
    <row r="9" spans="2:7" ht="12.75">
      <c r="B9" s="52" t="s">
        <v>6</v>
      </c>
      <c r="C9" s="589">
        <f>penFondy!H8</f>
        <v>0</v>
      </c>
      <c r="D9" s="293">
        <v>100</v>
      </c>
      <c r="E9" s="582">
        <f t="shared" si="0"/>
        <v>100</v>
      </c>
      <c r="G9" s="10"/>
    </row>
    <row r="10" spans="2:7" ht="12.75">
      <c r="B10" s="52" t="s">
        <v>7</v>
      </c>
      <c r="C10" s="589">
        <f>penFondy!H9</f>
        <v>474.14323</v>
      </c>
      <c r="D10" s="293">
        <v>296.4</v>
      </c>
      <c r="E10" s="582">
        <f t="shared" si="0"/>
        <v>770.54323</v>
      </c>
      <c r="G10" s="10"/>
    </row>
    <row r="11" spans="2:7" ht="12.75">
      <c r="B11" s="52" t="s">
        <v>213</v>
      </c>
      <c r="C11" s="589">
        <f>penFondy!H10</f>
        <v>253.6645000000001</v>
      </c>
      <c r="D11" s="293"/>
      <c r="E11" s="582">
        <f t="shared" si="0"/>
        <v>253.6645000000001</v>
      </c>
      <c r="G11" s="10"/>
    </row>
    <row r="12" spans="2:7" ht="12.75">
      <c r="B12" s="54" t="s">
        <v>8</v>
      </c>
      <c r="C12" s="589">
        <f>penFondy!H11</f>
        <v>0</v>
      </c>
      <c r="D12" s="293"/>
      <c r="E12" s="582">
        <f t="shared" si="0"/>
        <v>0</v>
      </c>
      <c r="G12" s="10"/>
    </row>
    <row r="13" spans="2:7" ht="12.75">
      <c r="B13" s="218" t="s">
        <v>214</v>
      </c>
      <c r="C13" s="589">
        <f>penFondy!H12</f>
        <v>0</v>
      </c>
      <c r="D13" s="293"/>
      <c r="E13" s="582">
        <f t="shared" si="0"/>
        <v>0</v>
      </c>
      <c r="G13" s="10"/>
    </row>
    <row r="14" spans="2:7" ht="12.75">
      <c r="B14" s="52" t="s">
        <v>9</v>
      </c>
      <c r="C14" s="589">
        <f>penFondy!H13</f>
        <v>107.16398000000001</v>
      </c>
      <c r="D14" s="294">
        <v>33.96</v>
      </c>
      <c r="E14" s="582">
        <f t="shared" si="0"/>
        <v>141.12398000000002</v>
      </c>
      <c r="G14" s="10"/>
    </row>
    <row r="15" spans="2:7" ht="13.5" thickBot="1">
      <c r="B15" s="52" t="s">
        <v>10</v>
      </c>
      <c r="C15" s="589">
        <f>penFondy!H14</f>
        <v>90.352</v>
      </c>
      <c r="D15" s="293"/>
      <c r="E15" s="582">
        <f t="shared" si="0"/>
        <v>90.352</v>
      </c>
      <c r="G15" s="10"/>
    </row>
    <row r="16" spans="2:5" ht="16.5" customHeight="1" thickBot="1">
      <c r="B16" s="579" t="s">
        <v>11</v>
      </c>
      <c r="C16" s="590">
        <f>SUM(C7:C15)</f>
        <v>2923.2811100000004</v>
      </c>
      <c r="D16" s="591">
        <f>SUM(D7:D15)</f>
        <v>1381.3600000000001</v>
      </c>
      <c r="E16" s="223">
        <f>SUM(E7:E15)</f>
        <v>4304.6411100000005</v>
      </c>
    </row>
    <row r="17" ht="13.5" thickBot="1">
      <c r="D17" s="260"/>
    </row>
    <row r="18" spans="2:5" ht="13.5" thickBot="1">
      <c r="B18" s="575" t="s">
        <v>12</v>
      </c>
      <c r="C18" s="585">
        <v>1</v>
      </c>
      <c r="D18" s="593">
        <v>2</v>
      </c>
      <c r="E18" s="576">
        <v>3</v>
      </c>
    </row>
    <row r="19" spans="2:5" ht="13.5" thickTop="1">
      <c r="B19" s="578" t="s">
        <v>4</v>
      </c>
      <c r="C19" s="587">
        <f>penFondy!H32-60201.35732</f>
        <v>920.7622000000047</v>
      </c>
      <c r="D19" s="588">
        <v>1761.61122</v>
      </c>
      <c r="E19" s="581">
        <f aca="true" t="shared" si="1" ref="E19:E27">SUM(C19:D19)</f>
        <v>2682.3734200000044</v>
      </c>
    </row>
    <row r="20" spans="2:5" ht="12.75">
      <c r="B20" s="52" t="s">
        <v>5</v>
      </c>
      <c r="C20" s="589">
        <f>penFondy!H33-8600.84942</f>
        <v>14075.97274</v>
      </c>
      <c r="D20" s="293">
        <v>651.3155</v>
      </c>
      <c r="E20" s="582">
        <f t="shared" si="1"/>
        <v>14727.28824</v>
      </c>
    </row>
    <row r="21" spans="2:5" ht="12.75">
      <c r="B21" s="52" t="s">
        <v>6</v>
      </c>
      <c r="C21" s="589">
        <f>penFondy!H34</f>
        <v>389.86643000000004</v>
      </c>
      <c r="D21" s="293">
        <v>220.46749</v>
      </c>
      <c r="E21" s="582">
        <f t="shared" si="1"/>
        <v>610.33392</v>
      </c>
    </row>
    <row r="22" spans="2:5" ht="12.75">
      <c r="B22" s="52" t="s">
        <v>7</v>
      </c>
      <c r="C22" s="589">
        <f>penFondy!H35-131398.60286</f>
        <v>2146.20074</v>
      </c>
      <c r="D22" s="293">
        <v>433.02955</v>
      </c>
      <c r="E22" s="582">
        <f t="shared" si="1"/>
        <v>2579.2302900000004</v>
      </c>
    </row>
    <row r="23" spans="2:7" ht="12.75">
      <c r="B23" s="52" t="s">
        <v>213</v>
      </c>
      <c r="C23" s="589">
        <f>penFondy!H36-435.42489</f>
        <v>9093.910530000001</v>
      </c>
      <c r="D23" s="293"/>
      <c r="E23" s="582">
        <f t="shared" si="1"/>
        <v>9093.910530000001</v>
      </c>
      <c r="G23" s="10"/>
    </row>
    <row r="24" spans="2:5" ht="12.75">
      <c r="B24" s="54" t="s">
        <v>8</v>
      </c>
      <c r="C24" s="589">
        <f>penFondy!H37</f>
        <v>369.96039</v>
      </c>
      <c r="D24" s="294">
        <v>1.03414</v>
      </c>
      <c r="E24" s="592">
        <f t="shared" si="1"/>
        <v>370.99453</v>
      </c>
    </row>
    <row r="25" spans="2:5" ht="12.75">
      <c r="B25" s="218" t="s">
        <v>214</v>
      </c>
      <c r="C25" s="589">
        <f>penFondy!H38-61572.68143</f>
        <v>1246.5090000000055</v>
      </c>
      <c r="D25" s="293">
        <v>266.76945</v>
      </c>
      <c r="E25" s="582">
        <f t="shared" si="1"/>
        <v>1513.2784500000055</v>
      </c>
    </row>
    <row r="26" spans="2:5" ht="12.75">
      <c r="B26" s="52" t="s">
        <v>9</v>
      </c>
      <c r="C26" s="589">
        <f>penFondy!H39</f>
        <v>1649.8479599999998</v>
      </c>
      <c r="D26" s="293">
        <v>113.02031</v>
      </c>
      <c r="E26" s="582">
        <f t="shared" si="1"/>
        <v>1762.86827</v>
      </c>
    </row>
    <row r="27" spans="2:5" ht="13.5" thickBot="1">
      <c r="B27" s="52" t="s">
        <v>10</v>
      </c>
      <c r="C27" s="589">
        <f>penFondy!H40</f>
        <v>23.19766</v>
      </c>
      <c r="D27" s="293"/>
      <c r="E27" s="582">
        <f t="shared" si="1"/>
        <v>23.19766</v>
      </c>
    </row>
    <row r="28" spans="2:7" ht="13.5" thickBot="1">
      <c r="B28" s="579" t="s">
        <v>13</v>
      </c>
      <c r="C28" s="590">
        <f>SUM(C19:C27)</f>
        <v>29916.22765000001</v>
      </c>
      <c r="D28" s="594">
        <f>SUM(D19:D27)</f>
        <v>3447.24766</v>
      </c>
      <c r="E28" s="223">
        <f>SUM(E19:E27)</f>
        <v>33363.47531000001</v>
      </c>
      <c r="G28" s="10"/>
    </row>
    <row r="29" ht="13.5" thickBot="1"/>
    <row r="30" spans="2:5" ht="13.5" thickBot="1">
      <c r="B30" s="575" t="s">
        <v>14</v>
      </c>
      <c r="C30" s="585">
        <v>1</v>
      </c>
      <c r="D30" s="586">
        <v>2</v>
      </c>
      <c r="E30" s="576">
        <v>3</v>
      </c>
    </row>
    <row r="31" spans="2:5" ht="13.5" thickTop="1">
      <c r="B31" s="578" t="s">
        <v>4</v>
      </c>
      <c r="C31" s="587">
        <f>penFondy!H45</f>
        <v>9414.60954</v>
      </c>
      <c r="D31" s="574"/>
      <c r="E31" s="595">
        <f aca="true" t="shared" si="2" ref="E31:E39">SUM(C31:D31)</f>
        <v>9414.60954</v>
      </c>
    </row>
    <row r="32" spans="2:5" ht="12.75">
      <c r="B32" s="52" t="s">
        <v>5</v>
      </c>
      <c r="C32" s="589">
        <f>penFondy!H46</f>
        <v>11833.745439999999</v>
      </c>
      <c r="D32" s="14"/>
      <c r="E32" s="582">
        <f t="shared" si="2"/>
        <v>11833.745439999999</v>
      </c>
    </row>
    <row r="33" spans="2:5" ht="12.75">
      <c r="B33" s="52" t="s">
        <v>6</v>
      </c>
      <c r="C33" s="589">
        <f>penFondy!H47</f>
        <v>589.09681</v>
      </c>
      <c r="D33" s="293">
        <f>202.28999-95.46749</f>
        <v>106.82249999999999</v>
      </c>
      <c r="E33" s="582">
        <f t="shared" si="2"/>
        <v>695.91931</v>
      </c>
    </row>
    <row r="34" spans="2:5" ht="12.75">
      <c r="B34" s="52" t="s">
        <v>7</v>
      </c>
      <c r="C34" s="589">
        <f>penFondy!H48</f>
        <v>3340.5937599999997</v>
      </c>
      <c r="D34" s="14"/>
      <c r="E34" s="582">
        <f t="shared" si="2"/>
        <v>3340.5937599999997</v>
      </c>
    </row>
    <row r="35" spans="2:5" ht="12.75">
      <c r="B35" s="52" t="s">
        <v>213</v>
      </c>
      <c r="C35" s="589">
        <f>penFondy!H49</f>
        <v>23358.91253</v>
      </c>
      <c r="D35" s="14"/>
      <c r="E35" s="582">
        <f t="shared" si="2"/>
        <v>23358.91253</v>
      </c>
    </row>
    <row r="36" spans="2:5" ht="12.75">
      <c r="B36" s="54" t="s">
        <v>8</v>
      </c>
      <c r="C36" s="589">
        <f>penFondy!H50</f>
        <v>454.6041</v>
      </c>
      <c r="D36" s="17"/>
      <c r="E36" s="592">
        <f t="shared" si="2"/>
        <v>454.6041</v>
      </c>
    </row>
    <row r="37" spans="2:5" ht="12.75">
      <c r="B37" s="218" t="s">
        <v>214</v>
      </c>
      <c r="C37" s="589">
        <f>penFondy!H51</f>
        <v>11411.08654</v>
      </c>
      <c r="D37" s="14"/>
      <c r="E37" s="582">
        <f>SUM(C37:D37)</f>
        <v>11411.08654</v>
      </c>
    </row>
    <row r="38" spans="2:5" ht="12.75">
      <c r="B38" s="52" t="s">
        <v>9</v>
      </c>
      <c r="C38" s="589">
        <f>penFondy!H52</f>
        <v>1650.46272</v>
      </c>
      <c r="D38" s="14"/>
      <c r="E38" s="582">
        <f t="shared" si="2"/>
        <v>1650.46272</v>
      </c>
    </row>
    <row r="39" spans="2:5" ht="13.5" thickBot="1">
      <c r="B39" s="52" t="s">
        <v>10</v>
      </c>
      <c r="C39" s="596">
        <f>penFondy!H53</f>
        <v>65.31999999999994</v>
      </c>
      <c r="D39" s="14"/>
      <c r="E39" s="582">
        <f t="shared" si="2"/>
        <v>65.31999999999994</v>
      </c>
    </row>
    <row r="40" spans="2:7" ht="13.5" thickBot="1">
      <c r="B40" s="579" t="s">
        <v>15</v>
      </c>
      <c r="C40" s="590">
        <f>SUM(C31:C39)</f>
        <v>62118.43144</v>
      </c>
      <c r="D40" s="594">
        <f>SUM(D31:D39)</f>
        <v>106.82249999999999</v>
      </c>
      <c r="E40" s="223">
        <f>SUM(E31:E39)</f>
        <v>62225.253939999995</v>
      </c>
      <c r="G40" s="10"/>
    </row>
    <row r="41" spans="2:7" ht="13.5" thickBot="1">
      <c r="B41" s="21"/>
      <c r="C41" s="22"/>
      <c r="D41" s="23"/>
      <c r="E41" s="23"/>
      <c r="G41" s="10"/>
    </row>
    <row r="42" spans="2:5" ht="13.5" thickBot="1">
      <c r="B42" s="575" t="s">
        <v>16</v>
      </c>
      <c r="C42" s="585">
        <v>1</v>
      </c>
      <c r="D42" s="586">
        <v>2</v>
      </c>
      <c r="E42" s="576">
        <v>3</v>
      </c>
    </row>
    <row r="43" spans="2:5" ht="13.5" thickTop="1">
      <c r="B43" s="578" t="s">
        <v>4</v>
      </c>
      <c r="C43" s="599">
        <f aca="true" t="shared" si="3" ref="C43:C51">SUM(C7,C19,C31)</f>
        <v>10918.931770000005</v>
      </c>
      <c r="D43" s="577">
        <f aca="true" t="shared" si="4" ref="D43:E51">D7+D19+D31</f>
        <v>2061.61122</v>
      </c>
      <c r="E43" s="595">
        <f t="shared" si="4"/>
        <v>12980.542990000004</v>
      </c>
    </row>
    <row r="44" spans="2:5" ht="12.75">
      <c r="B44" s="52" t="s">
        <v>5</v>
      </c>
      <c r="C44" s="600">
        <f t="shared" si="3"/>
        <v>27324.11555</v>
      </c>
      <c r="D44" s="20">
        <f t="shared" si="4"/>
        <v>1302.3155000000002</v>
      </c>
      <c r="E44" s="598">
        <f t="shared" si="4"/>
        <v>28626.43105</v>
      </c>
    </row>
    <row r="45" spans="2:5" ht="12.75">
      <c r="B45" s="597" t="s">
        <v>6</v>
      </c>
      <c r="C45" s="600">
        <f t="shared" si="3"/>
        <v>978.96324</v>
      </c>
      <c r="D45" s="20">
        <f t="shared" si="4"/>
        <v>427.28999</v>
      </c>
      <c r="E45" s="598">
        <f t="shared" si="4"/>
        <v>1406.25323</v>
      </c>
    </row>
    <row r="46" spans="2:5" ht="12.75">
      <c r="B46" s="52" t="s">
        <v>7</v>
      </c>
      <c r="C46" s="600">
        <f t="shared" si="3"/>
        <v>5960.93773</v>
      </c>
      <c r="D46" s="20">
        <f t="shared" si="4"/>
        <v>729.42955</v>
      </c>
      <c r="E46" s="598">
        <f t="shared" si="4"/>
        <v>6690.36728</v>
      </c>
    </row>
    <row r="47" spans="2:5" ht="12.75">
      <c r="B47" s="52" t="s">
        <v>213</v>
      </c>
      <c r="C47" s="600">
        <f t="shared" si="3"/>
        <v>32706.48756</v>
      </c>
      <c r="D47" s="20">
        <f t="shared" si="4"/>
        <v>0</v>
      </c>
      <c r="E47" s="598">
        <f t="shared" si="4"/>
        <v>32706.48756</v>
      </c>
    </row>
    <row r="48" spans="2:5" ht="12.75">
      <c r="B48" s="54" t="s">
        <v>8</v>
      </c>
      <c r="C48" s="600">
        <f t="shared" si="3"/>
        <v>824.56449</v>
      </c>
      <c r="D48" s="20">
        <f t="shared" si="4"/>
        <v>1.03414</v>
      </c>
      <c r="E48" s="598">
        <f t="shared" si="4"/>
        <v>825.59863</v>
      </c>
    </row>
    <row r="49" spans="2:5" ht="12.75">
      <c r="B49" s="217" t="s">
        <v>214</v>
      </c>
      <c r="C49" s="600">
        <f t="shared" si="3"/>
        <v>12657.595540000006</v>
      </c>
      <c r="D49" s="20">
        <f t="shared" si="4"/>
        <v>266.76945</v>
      </c>
      <c r="E49" s="598">
        <f t="shared" si="4"/>
        <v>12924.364990000005</v>
      </c>
    </row>
    <row r="50" spans="2:5" ht="12.75">
      <c r="B50" s="52" t="s">
        <v>9</v>
      </c>
      <c r="C50" s="600">
        <f t="shared" si="3"/>
        <v>3407.47466</v>
      </c>
      <c r="D50" s="20">
        <f t="shared" si="4"/>
        <v>146.98031</v>
      </c>
      <c r="E50" s="598">
        <f t="shared" si="4"/>
        <v>3554.45497</v>
      </c>
    </row>
    <row r="51" spans="2:5" ht="13.5" thickBot="1">
      <c r="B51" s="597" t="s">
        <v>10</v>
      </c>
      <c r="C51" s="600">
        <f t="shared" si="3"/>
        <v>178.86965999999995</v>
      </c>
      <c r="D51" s="20">
        <f t="shared" si="4"/>
        <v>0</v>
      </c>
      <c r="E51" s="598">
        <f t="shared" si="4"/>
        <v>178.86965999999995</v>
      </c>
    </row>
    <row r="52" spans="2:7" ht="13.5" thickBot="1">
      <c r="B52" s="579" t="s">
        <v>17</v>
      </c>
      <c r="C52" s="601">
        <f>SUM(C43:C51)</f>
        <v>94957.94020000001</v>
      </c>
      <c r="D52" s="594">
        <f>SUM(D43:D51)</f>
        <v>4935.430159999999</v>
      </c>
      <c r="E52" s="223">
        <f>SUM(E43:E51)</f>
        <v>99893.37036</v>
      </c>
      <c r="G52" s="10"/>
    </row>
  </sheetData>
  <sheetProtection/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zoomScale="75" zoomScaleNormal="75" zoomScalePageLayoutView="0" workbookViewId="0" topLeftCell="A82">
      <selection activeCell="O91" sqref="O91"/>
    </sheetView>
  </sheetViews>
  <sheetFormatPr defaultColWidth="9.140625" defaultRowHeight="12.75"/>
  <cols>
    <col min="1" max="1" width="20.140625" style="0" customWidth="1"/>
    <col min="4" max="4" width="9.57421875" style="0" customWidth="1"/>
    <col min="9" max="9" width="12.421875" style="0" customWidth="1"/>
  </cols>
  <sheetData>
    <row r="1" ht="12.75">
      <c r="I1" s="536" t="s">
        <v>445</v>
      </c>
    </row>
    <row r="3" spans="1:9" ht="24.75" customHeight="1">
      <c r="A3" s="604" t="s">
        <v>446</v>
      </c>
      <c r="B3" s="605"/>
      <c r="C3" s="605"/>
      <c r="D3" s="605"/>
      <c r="E3" s="605"/>
      <c r="F3" s="605"/>
      <c r="G3" s="605"/>
      <c r="H3" s="605"/>
      <c r="I3" s="605"/>
    </row>
    <row r="4" ht="12.75">
      <c r="I4" t="s">
        <v>1</v>
      </c>
    </row>
    <row r="5" spans="1:9" ht="30">
      <c r="A5" s="537" t="s">
        <v>30</v>
      </c>
      <c r="B5" s="538" t="s">
        <v>447</v>
      </c>
      <c r="C5" s="538" t="s">
        <v>448</v>
      </c>
      <c r="D5" s="539" t="s">
        <v>137</v>
      </c>
      <c r="E5" s="538" t="s">
        <v>449</v>
      </c>
      <c r="F5" s="538" t="s">
        <v>23</v>
      </c>
      <c r="G5" s="539" t="s">
        <v>450</v>
      </c>
      <c r="H5" s="538" t="s">
        <v>451</v>
      </c>
      <c r="I5" s="538" t="s">
        <v>106</v>
      </c>
    </row>
    <row r="6" spans="1:9" ht="15" customHeight="1">
      <c r="A6" s="539" t="s">
        <v>452</v>
      </c>
      <c r="B6" s="540">
        <f>UR10!C7+UR10!C9+UR10!C10+UR10!C11+UR10!C13+UR10!C14+UR10!C15</f>
        <v>30876</v>
      </c>
      <c r="C6" s="540">
        <f>UR10!D7+UR10!D8+UR10!D9+UR10!D10+UR10!D12+UR10!D13+UR10!D15</f>
        <v>2840</v>
      </c>
      <c r="D6" s="86">
        <f>B6+C6</f>
        <v>33716</v>
      </c>
      <c r="E6" s="86">
        <f>UR10!F7+UR10!F9+UR10!F10+UR10!F11+UR10!F13+UR10!F14+UR10!F15</f>
        <v>11182</v>
      </c>
      <c r="F6" s="86">
        <f>UR10!G7+UR10!G9+UR10!G10+UR10!G11+UR10!G13+UR10!G14</f>
        <v>610</v>
      </c>
      <c r="G6" s="86">
        <f>SUM(E6:F6)</f>
        <v>11792</v>
      </c>
      <c r="H6" s="86">
        <f>UR10!H7+UR10!H8+UR10!H9+UR10!H10+UR10!H11+UR10!H12+UR10!H13+UR10!H15</f>
        <v>77433</v>
      </c>
      <c r="I6" s="86">
        <f>D6+G6+H6</f>
        <v>122941</v>
      </c>
    </row>
    <row r="7" spans="1:9" ht="15">
      <c r="A7" s="539" t="s">
        <v>453</v>
      </c>
      <c r="B7" s="540"/>
      <c r="C7" s="540"/>
      <c r="D7" s="86">
        <f>B7+C7</f>
        <v>0</v>
      </c>
      <c r="E7" s="86"/>
      <c r="F7" s="86"/>
      <c r="G7" s="86">
        <f>SUM(E7:F7)</f>
        <v>0</v>
      </c>
      <c r="H7" s="86"/>
      <c r="I7" s="86">
        <f>D7+G7+H7</f>
        <v>0</v>
      </c>
    </row>
    <row r="8" spans="1:9" ht="14.25" customHeight="1">
      <c r="A8" s="539" t="s">
        <v>454</v>
      </c>
      <c r="B8" s="188"/>
      <c r="C8" s="86"/>
      <c r="D8" s="86">
        <f>B8+C8</f>
        <v>0</v>
      </c>
      <c r="E8" s="86"/>
      <c r="F8" s="86"/>
      <c r="G8" s="86">
        <f>SUM(E8:F8)</f>
        <v>0</v>
      </c>
      <c r="H8" s="86"/>
      <c r="I8" s="86">
        <f>D8+G8+H8</f>
        <v>0</v>
      </c>
    </row>
    <row r="9" spans="1:9" ht="15">
      <c r="A9" s="537" t="s">
        <v>455</v>
      </c>
      <c r="B9" s="541">
        <f>B6+B7+B8</f>
        <v>30876</v>
      </c>
      <c r="C9" s="541">
        <f>C6+C7+C8</f>
        <v>2840</v>
      </c>
      <c r="D9" s="541">
        <f>B9+C9</f>
        <v>33716</v>
      </c>
      <c r="E9" s="541">
        <f>E6+E7+E8</f>
        <v>11182</v>
      </c>
      <c r="F9" s="541">
        <f>F6+F7+F8</f>
        <v>610</v>
      </c>
      <c r="G9" s="541">
        <f>G6+G7+G8</f>
        <v>11792</v>
      </c>
      <c r="H9" s="541">
        <f>H6+H7+H8</f>
        <v>77433</v>
      </c>
      <c r="I9" s="541">
        <f>D9+G9+H9</f>
        <v>122941</v>
      </c>
    </row>
    <row r="10" spans="1:9" ht="15" customHeight="1">
      <c r="A10" s="539" t="s">
        <v>456</v>
      </c>
      <c r="B10" s="86"/>
      <c r="C10" s="86"/>
      <c r="D10" s="86"/>
      <c r="E10" s="86"/>
      <c r="F10" s="86"/>
      <c r="G10" s="86"/>
      <c r="H10" s="86"/>
      <c r="I10" s="541">
        <v>122941</v>
      </c>
    </row>
    <row r="11" spans="1:9" ht="15">
      <c r="A11" s="539" t="s">
        <v>457</v>
      </c>
      <c r="B11" s="86"/>
      <c r="C11" s="86"/>
      <c r="D11" s="86"/>
      <c r="E11" s="86"/>
      <c r="F11" s="86"/>
      <c r="G11" s="86"/>
      <c r="H11" s="86"/>
      <c r="I11" s="86">
        <f>I6</f>
        <v>122941</v>
      </c>
    </row>
    <row r="12" spans="1:9" ht="12.75" customHeight="1">
      <c r="A12" s="542" t="s">
        <v>458</v>
      </c>
      <c r="B12" s="564"/>
      <c r="C12" s="564"/>
      <c r="D12" s="544">
        <f>B12+C12</f>
        <v>0</v>
      </c>
      <c r="E12" s="564">
        <f>G12-F12</f>
        <v>0</v>
      </c>
      <c r="F12" s="564">
        <f>B12*0.02</f>
        <v>0</v>
      </c>
      <c r="G12" s="564"/>
      <c r="H12" s="564"/>
      <c r="I12" s="544">
        <f>B12+C12+F12+E12+H12</f>
        <v>0</v>
      </c>
    </row>
    <row r="13" spans="2:9" ht="15">
      <c r="B13" s="536" t="s">
        <v>459</v>
      </c>
      <c r="I13" s="546">
        <f>I10-I9</f>
        <v>0</v>
      </c>
    </row>
    <row r="14" spans="2:9" ht="15">
      <c r="B14" s="536"/>
      <c r="I14" s="546"/>
    </row>
    <row r="15" spans="1:9" ht="30">
      <c r="A15" s="566" t="s">
        <v>467</v>
      </c>
      <c r="B15" s="538" t="s">
        <v>447</v>
      </c>
      <c r="C15" s="538" t="s">
        <v>448</v>
      </c>
      <c r="D15" s="539" t="s">
        <v>137</v>
      </c>
      <c r="E15" s="538" t="s">
        <v>449</v>
      </c>
      <c r="F15" s="538" t="s">
        <v>23</v>
      </c>
      <c r="G15" s="539" t="s">
        <v>450</v>
      </c>
      <c r="H15" s="538" t="s">
        <v>451</v>
      </c>
      <c r="I15" s="538" t="s">
        <v>106</v>
      </c>
    </row>
    <row r="16" spans="1:9" ht="15">
      <c r="A16" s="539" t="s">
        <v>452</v>
      </c>
      <c r="B16" s="540">
        <f>UR10!C18+UR10!C19+UR10!C22+UR10!C23+UR10!C24</f>
        <v>43849</v>
      </c>
      <c r="C16" s="540">
        <f>UR10!D19+UR10!D22+UR10!D23+UR10!D24</f>
        <v>2959</v>
      </c>
      <c r="D16" s="86">
        <f>B16+C16</f>
        <v>46808</v>
      </c>
      <c r="E16" s="86">
        <f>UR10!F18+UR10!F19+UR10!F22+UR10!F23+UR10!F24</f>
        <v>15011</v>
      </c>
      <c r="F16" s="86">
        <f>UR10!G18+UR10!G19+UR10!G22+UR10!G23+UR10!G24</f>
        <v>878</v>
      </c>
      <c r="G16" s="86">
        <f>SUM(E16:F16)</f>
        <v>15889</v>
      </c>
      <c r="H16" s="86">
        <f>UR10!H18+UR10!H19+UR10!H21+UR10!H22+UR10!H23+UR10!H24</f>
        <v>19468</v>
      </c>
      <c r="I16" s="86">
        <f>D16+G16+H16</f>
        <v>82165</v>
      </c>
    </row>
    <row r="17" spans="1:9" ht="15">
      <c r="A17" s="539" t="s">
        <v>453</v>
      </c>
      <c r="B17" s="540">
        <f>ESF!C9</f>
        <v>2212</v>
      </c>
      <c r="C17" s="540">
        <f>ESF!D9</f>
        <v>1817</v>
      </c>
      <c r="D17" s="86">
        <f>B17+C17</f>
        <v>4029</v>
      </c>
      <c r="E17" s="86">
        <f>ESF!F9</f>
        <v>1056.5</v>
      </c>
      <c r="F17" s="86">
        <f>ESF!G9</f>
        <v>44.5</v>
      </c>
      <c r="G17" s="86">
        <f>SUM(E17:F17)</f>
        <v>1101</v>
      </c>
      <c r="H17" s="86">
        <f>ESF!H9</f>
        <v>3001.25</v>
      </c>
      <c r="I17" s="86">
        <f>D17+G17+H17</f>
        <v>8131.25</v>
      </c>
    </row>
    <row r="18" spans="1:9" ht="15">
      <c r="A18" s="539" t="s">
        <v>454</v>
      </c>
      <c r="B18" s="86">
        <f>ESF!C26</f>
        <v>4558.482</v>
      </c>
      <c r="C18" s="86">
        <f>ESF!D26</f>
        <v>3945.4530000000004</v>
      </c>
      <c r="D18" s="86">
        <f>B18+C18</f>
        <v>8503.935000000001</v>
      </c>
      <c r="E18" s="86">
        <f>ESF!F26</f>
        <v>2210.7020000000007</v>
      </c>
      <c r="F18" s="86">
        <f>ESF!G26</f>
        <v>92.65800000000002</v>
      </c>
      <c r="G18" s="86">
        <f>SUM(E18:F18)</f>
        <v>2303.3600000000006</v>
      </c>
      <c r="H18" s="86">
        <f>ESF!H26</f>
        <v>6647.7350000000015</v>
      </c>
      <c r="I18" s="86">
        <f>D18+G18+H18</f>
        <v>17455.030000000002</v>
      </c>
    </row>
    <row r="19" spans="1:9" ht="15">
      <c r="A19" s="537" t="s">
        <v>455</v>
      </c>
      <c r="B19" s="541">
        <f>B16+B17+B18</f>
        <v>50619.482</v>
      </c>
      <c r="C19" s="541">
        <f>C16+C17+C18</f>
        <v>8721.453000000001</v>
      </c>
      <c r="D19" s="541">
        <f>B19+C19</f>
        <v>59340.935000000005</v>
      </c>
      <c r="E19" s="541">
        <f>E16+E17+E18</f>
        <v>18278.202</v>
      </c>
      <c r="F19" s="541">
        <f>F16+F17+F18</f>
        <v>1015.158</v>
      </c>
      <c r="G19" s="541">
        <f>G16+G17+G18</f>
        <v>19293.36</v>
      </c>
      <c r="H19" s="541">
        <f>H16+H17+H18</f>
        <v>29116.985</v>
      </c>
      <c r="I19" s="541">
        <f>D19+G19+H19</f>
        <v>107751.28000000001</v>
      </c>
    </row>
    <row r="20" spans="1:9" ht="15">
      <c r="A20" s="539" t="s">
        <v>456</v>
      </c>
      <c r="B20" s="86"/>
      <c r="C20" s="86"/>
      <c r="D20" s="86"/>
      <c r="E20" s="86"/>
      <c r="F20" s="86"/>
      <c r="G20" s="86"/>
      <c r="H20" s="86"/>
      <c r="I20" s="541">
        <f>82165+17152.094</f>
        <v>99317.094</v>
      </c>
    </row>
    <row r="21" spans="1:9" ht="15">
      <c r="A21" s="539" t="s">
        <v>457</v>
      </c>
      <c r="B21" s="86"/>
      <c r="C21" s="86"/>
      <c r="D21" s="86"/>
      <c r="E21" s="86"/>
      <c r="F21" s="86"/>
      <c r="G21" s="86"/>
      <c r="H21" s="86"/>
      <c r="I21" s="86">
        <f>I16</f>
        <v>82165</v>
      </c>
    </row>
    <row r="22" spans="1:9" ht="15">
      <c r="A22" s="542" t="s">
        <v>458</v>
      </c>
      <c r="B22" s="564">
        <f>924+1111+86</f>
        <v>2121</v>
      </c>
      <c r="C22" s="564">
        <f>830+606</f>
        <v>1436</v>
      </c>
      <c r="D22" s="544">
        <f>B22+C22</f>
        <v>3557</v>
      </c>
      <c r="E22" s="564">
        <f>G22-F22</f>
        <v>1593.58</v>
      </c>
      <c r="F22" s="564">
        <f>B22*0.02</f>
        <v>42.42</v>
      </c>
      <c r="G22" s="564">
        <f>754+851+31</f>
        <v>1636</v>
      </c>
      <c r="H22" s="564">
        <f>98</f>
        <v>98</v>
      </c>
      <c r="I22" s="544">
        <f>B22+C22+F22+E22+H22</f>
        <v>5291</v>
      </c>
    </row>
    <row r="23" spans="2:9" ht="15">
      <c r="B23" s="536" t="s">
        <v>459</v>
      </c>
      <c r="I23" s="546">
        <f>I20-I19</f>
        <v>-8434.186000000016</v>
      </c>
    </row>
    <row r="25" spans="1:9" ht="30">
      <c r="A25" s="537" t="s">
        <v>103</v>
      </c>
      <c r="B25" s="538" t="s">
        <v>447</v>
      </c>
      <c r="C25" s="538" t="s">
        <v>448</v>
      </c>
      <c r="D25" s="539" t="s">
        <v>137</v>
      </c>
      <c r="E25" s="538" t="s">
        <v>449</v>
      </c>
      <c r="F25" s="538" t="s">
        <v>23</v>
      </c>
      <c r="G25" s="538" t="s">
        <v>460</v>
      </c>
      <c r="H25" s="538" t="s">
        <v>451</v>
      </c>
      <c r="I25" s="538" t="s">
        <v>106</v>
      </c>
    </row>
    <row r="26" spans="1:9" ht="15">
      <c r="A26" s="539" t="s">
        <v>452</v>
      </c>
      <c r="B26" s="540">
        <f>UR10!C26</f>
        <v>4714</v>
      </c>
      <c r="C26" s="540">
        <f>UR10!D26</f>
        <v>885</v>
      </c>
      <c r="D26" s="86">
        <f>B26+C26</f>
        <v>5599</v>
      </c>
      <c r="E26" s="86">
        <f>UR10!F26</f>
        <v>1754</v>
      </c>
      <c r="F26" s="86">
        <f>UR10!G26</f>
        <v>95</v>
      </c>
      <c r="G26" s="86">
        <f>SUM(E26:F26)</f>
        <v>1849</v>
      </c>
      <c r="H26" s="86">
        <f>UR10!H26+UR10!H27+UR10!H28</f>
        <v>5033</v>
      </c>
      <c r="I26" s="86">
        <f>D26+G26+H26</f>
        <v>12481</v>
      </c>
    </row>
    <row r="27" spans="1:9" ht="15">
      <c r="A27" s="539" t="s">
        <v>453</v>
      </c>
      <c r="B27" s="540"/>
      <c r="C27" s="540"/>
      <c r="D27" s="86">
        <f>B27+C27</f>
        <v>0</v>
      </c>
      <c r="E27" s="86"/>
      <c r="F27" s="86"/>
      <c r="G27" s="86"/>
      <c r="H27" s="86"/>
      <c r="I27" s="86">
        <f>D27+G27+H27</f>
        <v>0</v>
      </c>
    </row>
    <row r="28" spans="1:9" ht="15">
      <c r="A28" s="539" t="s">
        <v>454</v>
      </c>
      <c r="B28" s="188"/>
      <c r="C28" s="86"/>
      <c r="D28" s="86">
        <f>B28+C28</f>
        <v>0</v>
      </c>
      <c r="E28" s="86"/>
      <c r="F28" s="86"/>
      <c r="G28" s="86"/>
      <c r="H28" s="86"/>
      <c r="I28" s="86">
        <f>D28+G28+H28</f>
        <v>0</v>
      </c>
    </row>
    <row r="29" spans="1:9" ht="15">
      <c r="A29" s="537" t="s">
        <v>455</v>
      </c>
      <c r="B29" s="541">
        <f>B26+B27+B28</f>
        <v>4714</v>
      </c>
      <c r="C29" s="541">
        <f>C26+C27+C28</f>
        <v>885</v>
      </c>
      <c r="D29" s="541">
        <f>B29+C29</f>
        <v>5599</v>
      </c>
      <c r="E29" s="541">
        <f>E26+E27+E28</f>
        <v>1754</v>
      </c>
      <c r="F29" s="541">
        <f>F26+F27+F28</f>
        <v>95</v>
      </c>
      <c r="G29" s="541">
        <f>G26+G27+G28</f>
        <v>1849</v>
      </c>
      <c r="H29" s="541">
        <f>H26+H27+H28</f>
        <v>5033</v>
      </c>
      <c r="I29" s="541">
        <f>D29+G29+H29</f>
        <v>12481</v>
      </c>
    </row>
    <row r="30" spans="1:9" ht="15">
      <c r="A30" s="539" t="s">
        <v>456</v>
      </c>
      <c r="B30" s="86"/>
      <c r="C30" s="86"/>
      <c r="D30" s="86"/>
      <c r="E30" s="86"/>
      <c r="F30" s="86"/>
      <c r="G30" s="86"/>
      <c r="H30" s="86"/>
      <c r="I30" s="541">
        <v>12481</v>
      </c>
    </row>
    <row r="31" spans="1:9" ht="15">
      <c r="A31" s="539" t="s">
        <v>457</v>
      </c>
      <c r="B31" s="86"/>
      <c r="C31" s="86"/>
      <c r="D31" s="86"/>
      <c r="E31" s="86"/>
      <c r="F31" s="86"/>
      <c r="G31" s="86"/>
      <c r="H31" s="86"/>
      <c r="I31" s="86">
        <f>I26</f>
        <v>12481</v>
      </c>
    </row>
    <row r="32" spans="1:9" ht="15">
      <c r="A32" s="542" t="s">
        <v>458</v>
      </c>
      <c r="B32" s="543"/>
      <c r="C32" s="543"/>
      <c r="D32" s="544">
        <f>B32+C32</f>
        <v>0</v>
      </c>
      <c r="E32" s="545">
        <f>G32-F32</f>
        <v>0</v>
      </c>
      <c r="F32" s="545">
        <f>B32*0.02</f>
        <v>0</v>
      </c>
      <c r="G32" s="543"/>
      <c r="H32" s="543"/>
      <c r="I32" s="544">
        <f>B32+C32+F32+E32+H32</f>
        <v>0</v>
      </c>
    </row>
    <row r="33" spans="2:9" ht="15">
      <c r="B33" s="536" t="s">
        <v>459</v>
      </c>
      <c r="I33" s="546">
        <f>I30-I29</f>
        <v>0</v>
      </c>
    </row>
    <row r="35" spans="1:9" ht="30">
      <c r="A35" s="566" t="s">
        <v>31</v>
      </c>
      <c r="B35" s="538" t="s">
        <v>447</v>
      </c>
      <c r="C35" s="538" t="s">
        <v>448</v>
      </c>
      <c r="D35" s="539" t="s">
        <v>137</v>
      </c>
      <c r="E35" s="538" t="s">
        <v>449</v>
      </c>
      <c r="F35" s="538" t="s">
        <v>23</v>
      </c>
      <c r="G35" s="538" t="s">
        <v>460</v>
      </c>
      <c r="H35" s="538" t="s">
        <v>451</v>
      </c>
      <c r="I35" s="538" t="s">
        <v>106</v>
      </c>
    </row>
    <row r="36" spans="1:9" ht="15">
      <c r="A36" s="539" t="s">
        <v>452</v>
      </c>
      <c r="B36" s="540">
        <f>UR10!C35+UR10!C37</f>
        <v>13957</v>
      </c>
      <c r="C36" s="540">
        <f>UR10!D31+UR10!D32+UR10!D33+UR10!D35+UR10!D36+UR10!D37+UR10!D38</f>
        <v>4270</v>
      </c>
      <c r="D36" s="86">
        <f>B36+C36</f>
        <v>18227</v>
      </c>
      <c r="E36" s="86">
        <f>UR10!F35+UR10!F37</f>
        <v>4955</v>
      </c>
      <c r="F36" s="86">
        <f>UR10!G35+UR10!G37</f>
        <v>279</v>
      </c>
      <c r="G36" s="86">
        <f>SUM(E36:F36)</f>
        <v>5234</v>
      </c>
      <c r="H36" s="86">
        <f>UR10!H31+UR10!H32+UR10!H33+UR10!H35+UR10!H36+UR10!H37+UR10!H38</f>
        <v>15715</v>
      </c>
      <c r="I36" s="86">
        <f>D36+G36+H36</f>
        <v>39176</v>
      </c>
    </row>
    <row r="37" spans="1:9" ht="15">
      <c r="A37" s="539" t="s">
        <v>453</v>
      </c>
      <c r="B37" s="540">
        <f>ESF!C30</f>
        <v>7774</v>
      </c>
      <c r="C37" s="540">
        <f>ESF!D30</f>
        <v>2823</v>
      </c>
      <c r="D37" s="86">
        <f>B37+C37</f>
        <v>10597</v>
      </c>
      <c r="E37" s="86">
        <f>ESF!F30</f>
        <v>3157</v>
      </c>
      <c r="F37" s="86">
        <f>ESF!G30</f>
        <v>155.5</v>
      </c>
      <c r="G37" s="86">
        <f>SUM(E37:F37)</f>
        <v>3312.5</v>
      </c>
      <c r="H37" s="86">
        <f>ESF!H30+ESF!I30</f>
        <v>2488.5</v>
      </c>
      <c r="I37" s="86">
        <f>D37+G37+H37</f>
        <v>16398</v>
      </c>
    </row>
    <row r="38" spans="1:9" ht="15">
      <c r="A38" s="539" t="s">
        <v>454</v>
      </c>
      <c r="B38" s="86">
        <f>ESF!C35</f>
        <v>13722.023</v>
      </c>
      <c r="C38" s="86">
        <f>ESF!D35</f>
        <v>5358.5160000000005</v>
      </c>
      <c r="D38" s="86">
        <f>B38+C38</f>
        <v>19080.539</v>
      </c>
      <c r="E38" s="86">
        <f>ESF!F35</f>
        <v>5246.144</v>
      </c>
      <c r="F38" s="86">
        <f>ESF!G35</f>
        <v>258.264</v>
      </c>
      <c r="G38" s="86">
        <f>SUM(E38:F38)</f>
        <v>5504.408</v>
      </c>
      <c r="H38" s="86">
        <f>ESF!H35</f>
        <v>15897.583999999999</v>
      </c>
      <c r="I38" s="86">
        <f>D38+G38+H38</f>
        <v>40482.531</v>
      </c>
    </row>
    <row r="39" spans="1:9" ht="15">
      <c r="A39" s="537" t="s">
        <v>455</v>
      </c>
      <c r="B39" s="541">
        <f>B36+B37+B38</f>
        <v>35453.023</v>
      </c>
      <c r="C39" s="541">
        <f>C36+C37+C38</f>
        <v>12451.516</v>
      </c>
      <c r="D39" s="541">
        <f>B39+C39</f>
        <v>47904.539000000004</v>
      </c>
      <c r="E39" s="541">
        <f>E36+E37+E38</f>
        <v>13358.144</v>
      </c>
      <c r="F39" s="541">
        <f>F36+F37+F38</f>
        <v>692.764</v>
      </c>
      <c r="G39" s="541">
        <f>G36+G37+G38</f>
        <v>14050.908</v>
      </c>
      <c r="H39" s="541">
        <f>H36+H37+H38</f>
        <v>34101.084</v>
      </c>
      <c r="I39" s="541">
        <f>D39+G39+H39</f>
        <v>96056.531</v>
      </c>
    </row>
    <row r="40" spans="1:9" ht="15">
      <c r="A40" s="539" t="s">
        <v>456</v>
      </c>
      <c r="B40" s="86"/>
      <c r="C40" s="86"/>
      <c r="D40" s="86"/>
      <c r="E40" s="86"/>
      <c r="F40" s="86"/>
      <c r="G40" s="86"/>
      <c r="H40" s="86"/>
      <c r="I40" s="541">
        <f>39176+39602.191</f>
        <v>78778.19099999999</v>
      </c>
    </row>
    <row r="41" spans="1:9" ht="15">
      <c r="A41" s="539" t="s">
        <v>457</v>
      </c>
      <c r="B41" s="86"/>
      <c r="C41" s="86"/>
      <c r="D41" s="86"/>
      <c r="E41" s="86"/>
      <c r="F41" s="86"/>
      <c r="G41" s="86"/>
      <c r="H41" s="86"/>
      <c r="I41" s="86">
        <f>I36</f>
        <v>39176</v>
      </c>
    </row>
    <row r="42" spans="1:9" ht="15">
      <c r="A42" s="542" t="s">
        <v>458</v>
      </c>
      <c r="B42" s="564">
        <f>10195</f>
        <v>10195</v>
      </c>
      <c r="C42" s="564">
        <f>4211+27</f>
        <v>4238</v>
      </c>
      <c r="D42" s="544">
        <f>B42+C42</f>
        <v>14433</v>
      </c>
      <c r="E42" s="564">
        <f>G42-F42</f>
        <v>4382.1</v>
      </c>
      <c r="F42" s="564">
        <f>B42*0.02</f>
        <v>203.9</v>
      </c>
      <c r="G42" s="564">
        <v>4586</v>
      </c>
      <c r="H42" s="564">
        <f>12133+262</f>
        <v>12395</v>
      </c>
      <c r="I42" s="544">
        <f>B42+C42+F42+E42+H42</f>
        <v>31414</v>
      </c>
    </row>
    <row r="43" spans="2:9" ht="15">
      <c r="B43" s="536" t="s">
        <v>459</v>
      </c>
      <c r="I43" s="546">
        <f>I40-I39</f>
        <v>-17278.34000000001</v>
      </c>
    </row>
    <row r="45" spans="1:9" ht="30">
      <c r="A45" s="537" t="s">
        <v>215</v>
      </c>
      <c r="B45" s="538" t="s">
        <v>447</v>
      </c>
      <c r="C45" s="538" t="s">
        <v>448</v>
      </c>
      <c r="D45" s="539" t="s">
        <v>137</v>
      </c>
      <c r="E45" s="538" t="s">
        <v>449</v>
      </c>
      <c r="F45" s="538" t="s">
        <v>23</v>
      </c>
      <c r="G45" s="538" t="s">
        <v>460</v>
      </c>
      <c r="H45" s="538" t="s">
        <v>451</v>
      </c>
      <c r="I45" s="538" t="s">
        <v>106</v>
      </c>
    </row>
    <row r="46" spans="1:9" ht="15">
      <c r="A46" s="539" t="s">
        <v>452</v>
      </c>
      <c r="B46" s="540">
        <f>UR10!C42+UR10!C45+UR10!C46</f>
        <v>41112</v>
      </c>
      <c r="C46" s="540">
        <f>UR10!D41+UR10!D42+UR10!D45</f>
        <v>541</v>
      </c>
      <c r="D46" s="86">
        <f>B46+C46</f>
        <v>41653</v>
      </c>
      <c r="E46" s="86">
        <f>UR10!F42+UR10!F45+UR10!F46</f>
        <v>13962</v>
      </c>
      <c r="F46" s="86">
        <f>UR10!G42</f>
        <v>818</v>
      </c>
      <c r="G46" s="86">
        <f>SUM(E46:F46)</f>
        <v>14780</v>
      </c>
      <c r="H46" s="86">
        <f>UR10!H41+UR10!H42+UR10!H44+UR10!H45+UR10!H46</f>
        <v>188577</v>
      </c>
      <c r="I46" s="86">
        <f>D46+G46+H46</f>
        <v>245010</v>
      </c>
    </row>
    <row r="47" spans="1:9" ht="15">
      <c r="A47" s="539" t="s">
        <v>453</v>
      </c>
      <c r="B47" s="540"/>
      <c r="C47" s="540"/>
      <c r="D47" s="86">
        <f>B47+C47</f>
        <v>0</v>
      </c>
      <c r="E47" s="86"/>
      <c r="F47" s="86"/>
      <c r="G47" s="86">
        <f>SUM(E47:F47)</f>
        <v>0</v>
      </c>
      <c r="H47" s="86">
        <f>ESF!H39</f>
        <v>17080.18</v>
      </c>
      <c r="I47" s="86">
        <f>D47+G47+H47</f>
        <v>17080.18</v>
      </c>
    </row>
    <row r="48" spans="1:9" ht="15">
      <c r="A48" s="539" t="s">
        <v>454</v>
      </c>
      <c r="B48" s="86"/>
      <c r="C48" s="86"/>
      <c r="D48" s="86">
        <f>B48+C48</f>
        <v>0</v>
      </c>
      <c r="E48" s="86"/>
      <c r="F48" s="86"/>
      <c r="G48" s="86">
        <f>SUM(E48:F48)</f>
        <v>0</v>
      </c>
      <c r="H48" s="86">
        <f>ESF!H42</f>
        <v>20.231</v>
      </c>
      <c r="I48" s="86">
        <f>D48+G48+H48</f>
        <v>20.231</v>
      </c>
    </row>
    <row r="49" spans="1:9" ht="15">
      <c r="A49" s="537" t="s">
        <v>455</v>
      </c>
      <c r="B49" s="541">
        <f>B46+B47+B48</f>
        <v>41112</v>
      </c>
      <c r="C49" s="541">
        <f>C46+C47+C48</f>
        <v>541</v>
      </c>
      <c r="D49" s="541">
        <f>B49+C49</f>
        <v>41653</v>
      </c>
      <c r="E49" s="541">
        <f>E46+E47+E48</f>
        <v>13962</v>
      </c>
      <c r="F49" s="541">
        <f>F46+F47+F48</f>
        <v>818</v>
      </c>
      <c r="G49" s="541">
        <f>G46+G47+G48</f>
        <v>14780</v>
      </c>
      <c r="H49" s="541">
        <f>H46+H47+H48</f>
        <v>205677.411</v>
      </c>
      <c r="I49" s="541">
        <f>D49+G49+H49</f>
        <v>262110.411</v>
      </c>
    </row>
    <row r="50" spans="1:9" ht="15">
      <c r="A50" s="539" t="s">
        <v>456</v>
      </c>
      <c r="B50" s="86"/>
      <c r="C50" s="86"/>
      <c r="D50" s="86"/>
      <c r="E50" s="86"/>
      <c r="F50" s="86"/>
      <c r="G50" s="86"/>
      <c r="H50" s="86"/>
      <c r="I50" s="541">
        <v>245010</v>
      </c>
    </row>
    <row r="51" spans="1:9" ht="15">
      <c r="A51" s="539" t="s">
        <v>457</v>
      </c>
      <c r="B51" s="86"/>
      <c r="C51" s="86"/>
      <c r="D51" s="86"/>
      <c r="E51" s="86"/>
      <c r="F51" s="86"/>
      <c r="G51" s="86"/>
      <c r="H51" s="86"/>
      <c r="I51" s="86">
        <f>I46</f>
        <v>245010</v>
      </c>
    </row>
    <row r="52" spans="1:9" ht="15">
      <c r="A52" s="542" t="s">
        <v>458</v>
      </c>
      <c r="B52" s="564"/>
      <c r="C52" s="564"/>
      <c r="D52" s="544">
        <f>B52+C52</f>
        <v>0</v>
      </c>
      <c r="E52" s="564">
        <f>G52-F52</f>
        <v>0</v>
      </c>
      <c r="F52" s="564">
        <f>B52*0.02</f>
        <v>0</v>
      </c>
      <c r="G52" s="564"/>
      <c r="H52" s="564"/>
      <c r="I52" s="544">
        <f>B52+C52+F52+E52+H52</f>
        <v>0</v>
      </c>
    </row>
    <row r="53" spans="2:9" ht="15">
      <c r="B53" s="536" t="s">
        <v>459</v>
      </c>
      <c r="I53" s="546">
        <f>I50-I49</f>
        <v>-17100.410999999993</v>
      </c>
    </row>
    <row r="55" spans="1:9" ht="30">
      <c r="A55" s="537" t="s">
        <v>104</v>
      </c>
      <c r="B55" s="538" t="s">
        <v>447</v>
      </c>
      <c r="C55" s="538" t="s">
        <v>448</v>
      </c>
      <c r="D55" s="539" t="s">
        <v>137</v>
      </c>
      <c r="E55" s="538" t="s">
        <v>449</v>
      </c>
      <c r="F55" s="538" t="s">
        <v>23</v>
      </c>
      <c r="G55" s="538" t="s">
        <v>460</v>
      </c>
      <c r="H55" s="538" t="s">
        <v>451</v>
      </c>
      <c r="I55" s="538" t="s">
        <v>106</v>
      </c>
    </row>
    <row r="56" spans="1:9" ht="15">
      <c r="A56" s="539" t="s">
        <v>452</v>
      </c>
      <c r="B56" s="540"/>
      <c r="C56" s="540"/>
      <c r="D56" s="86">
        <f>B56+C56</f>
        <v>0</v>
      </c>
      <c r="E56" s="86"/>
      <c r="F56" s="86"/>
      <c r="G56" s="86">
        <f>SUM(E56:F56)</f>
        <v>0</v>
      </c>
      <c r="H56" s="86">
        <f>UR10!H48+UR10!H49</f>
        <v>12546</v>
      </c>
      <c r="I56" s="86">
        <f>D56+G56+H56</f>
        <v>12546</v>
      </c>
    </row>
    <row r="57" spans="1:9" ht="15">
      <c r="A57" s="539" t="s">
        <v>453</v>
      </c>
      <c r="B57" s="562"/>
      <c r="C57" s="540"/>
      <c r="D57" s="86">
        <f>B57+C57</f>
        <v>0</v>
      </c>
      <c r="E57" s="86"/>
      <c r="F57" s="86"/>
      <c r="G57" s="86">
        <f>SUM(E57:F57)</f>
        <v>0</v>
      </c>
      <c r="H57" s="86"/>
      <c r="I57" s="86">
        <f>D57+G57+H57</f>
        <v>0</v>
      </c>
    </row>
    <row r="58" spans="1:9" ht="15">
      <c r="A58" s="539" t="s">
        <v>454</v>
      </c>
      <c r="B58" s="562"/>
      <c r="C58" s="86"/>
      <c r="D58" s="86">
        <f>B58+C58</f>
        <v>0</v>
      </c>
      <c r="E58" s="86"/>
      <c r="F58" s="86"/>
      <c r="G58" s="86">
        <f>SUM(E58:F58)</f>
        <v>0</v>
      </c>
      <c r="H58" s="86"/>
      <c r="I58" s="86">
        <f>D58+G58+H58</f>
        <v>0</v>
      </c>
    </row>
    <row r="59" spans="1:9" ht="15">
      <c r="A59" s="537" t="s">
        <v>455</v>
      </c>
      <c r="B59" s="541">
        <f>B56+B57+B58</f>
        <v>0</v>
      </c>
      <c r="C59" s="541">
        <f>C56+C57+C58</f>
        <v>0</v>
      </c>
      <c r="D59" s="541">
        <f>B59+C59</f>
        <v>0</v>
      </c>
      <c r="E59" s="541">
        <f>E56+E57+E58</f>
        <v>0</v>
      </c>
      <c r="F59" s="541">
        <f>F56+F57+F58</f>
        <v>0</v>
      </c>
      <c r="G59" s="541">
        <f>G56+G57+G58</f>
        <v>0</v>
      </c>
      <c r="H59" s="541">
        <f>H56+H57+H58</f>
        <v>12546</v>
      </c>
      <c r="I59" s="541">
        <f>D59+G59+H59</f>
        <v>12546</v>
      </c>
    </row>
    <row r="60" spans="1:9" ht="15">
      <c r="A60" s="539" t="s">
        <v>456</v>
      </c>
      <c r="B60" s="86"/>
      <c r="C60" s="86"/>
      <c r="D60" s="86"/>
      <c r="E60" s="86"/>
      <c r="F60" s="86"/>
      <c r="G60" s="86"/>
      <c r="H60" s="86"/>
      <c r="I60" s="541">
        <v>12546</v>
      </c>
    </row>
    <row r="61" spans="1:9" ht="15">
      <c r="A61" s="539" t="s">
        <v>457</v>
      </c>
      <c r="B61" s="86"/>
      <c r="C61" s="86"/>
      <c r="D61" s="86"/>
      <c r="E61" s="86"/>
      <c r="F61" s="86"/>
      <c r="G61" s="86"/>
      <c r="H61" s="86"/>
      <c r="I61" s="86">
        <f>I56</f>
        <v>12546</v>
      </c>
    </row>
    <row r="62" spans="1:9" ht="15">
      <c r="A62" s="542" t="s">
        <v>458</v>
      </c>
      <c r="B62" s="564"/>
      <c r="C62" s="564"/>
      <c r="D62" s="544">
        <f>B62+C62</f>
        <v>0</v>
      </c>
      <c r="E62" s="564">
        <f>G62-F62</f>
        <v>0</v>
      </c>
      <c r="F62" s="564">
        <f>B62*0.02</f>
        <v>0</v>
      </c>
      <c r="G62" s="564"/>
      <c r="H62" s="564"/>
      <c r="I62" s="544">
        <f>B62+C62+F62+E62+H62</f>
        <v>0</v>
      </c>
    </row>
    <row r="63" spans="2:9" ht="15">
      <c r="B63" s="536" t="s">
        <v>459</v>
      </c>
      <c r="I63" s="546">
        <f>I60-I59</f>
        <v>0</v>
      </c>
    </row>
    <row r="65" spans="1:9" ht="30">
      <c r="A65" s="566" t="s">
        <v>216</v>
      </c>
      <c r="B65" s="538" t="s">
        <v>447</v>
      </c>
      <c r="C65" s="538" t="s">
        <v>448</v>
      </c>
      <c r="D65" s="539" t="s">
        <v>137</v>
      </c>
      <c r="E65" s="538" t="s">
        <v>449</v>
      </c>
      <c r="F65" s="538" t="s">
        <v>23</v>
      </c>
      <c r="G65" s="538" t="s">
        <v>460</v>
      </c>
      <c r="H65" s="538" t="s">
        <v>451</v>
      </c>
      <c r="I65" s="538" t="s">
        <v>106</v>
      </c>
    </row>
    <row r="66" spans="1:9" ht="15">
      <c r="A66" s="539" t="s">
        <v>452</v>
      </c>
      <c r="B66" s="540">
        <f>UR10!C52</f>
        <v>21264</v>
      </c>
      <c r="C66" s="540">
        <f>UR10!D52+UR10!D54</f>
        <v>3616</v>
      </c>
      <c r="D66" s="86">
        <f>B66+C66</f>
        <v>24880</v>
      </c>
      <c r="E66" s="86">
        <f>UR10!F52+UR10!F54</f>
        <v>7684</v>
      </c>
      <c r="F66" s="86">
        <f>UR10!G52</f>
        <v>425</v>
      </c>
      <c r="G66" s="86">
        <f>SUM(E66:F66)</f>
        <v>8109</v>
      </c>
      <c r="H66" s="86">
        <f>UR10!H52+UR10!H53+UR10!H54</f>
        <v>158518</v>
      </c>
      <c r="I66" s="86">
        <f>D66+G66+H66</f>
        <v>191507</v>
      </c>
    </row>
    <row r="67" spans="1:9" ht="15">
      <c r="A67" s="539" t="s">
        <v>453</v>
      </c>
      <c r="B67" s="540">
        <f>ESF!C46</f>
        <v>5255</v>
      </c>
      <c r="C67" s="540">
        <f>ESF!D46</f>
        <v>9444</v>
      </c>
      <c r="D67" s="86">
        <f>B67+C67</f>
        <v>14699</v>
      </c>
      <c r="E67" s="86">
        <f>ESF!F46</f>
        <v>2125</v>
      </c>
      <c r="F67" s="86">
        <f>ESF!G46</f>
        <v>105</v>
      </c>
      <c r="G67" s="86">
        <f>SUM(E67:F67)</f>
        <v>2230</v>
      </c>
      <c r="H67" s="86">
        <f>ESF!H46</f>
        <v>5151</v>
      </c>
      <c r="I67" s="86">
        <f>D67+G67+H67</f>
        <v>22080</v>
      </c>
    </row>
    <row r="68" spans="1:9" ht="15">
      <c r="A68" s="539" t="s">
        <v>454</v>
      </c>
      <c r="B68" s="86">
        <f>ESF!C49</f>
        <v>30621.808999999997</v>
      </c>
      <c r="C68" s="86">
        <f>ESF!D49</f>
        <v>20562.808999999997</v>
      </c>
      <c r="D68" s="86">
        <f>B68+C68</f>
        <v>51184.617999999995</v>
      </c>
      <c r="E68" s="86">
        <f>ESF!F49</f>
        <v>11715.462</v>
      </c>
      <c r="F68" s="86">
        <f>ESF!G49</f>
        <v>613.551</v>
      </c>
      <c r="G68" s="86">
        <f>SUM(E68:F68)</f>
        <v>12329.012999999999</v>
      </c>
      <c r="H68" s="86">
        <f>ESF!H49</f>
        <v>76685.559</v>
      </c>
      <c r="I68" s="86">
        <f>D68+G68+H68</f>
        <v>140199.19</v>
      </c>
    </row>
    <row r="69" spans="1:9" ht="15">
      <c r="A69" s="537" t="s">
        <v>455</v>
      </c>
      <c r="B69" s="541">
        <f>B66+B67+B68</f>
        <v>57140.808999999994</v>
      </c>
      <c r="C69" s="541">
        <f>C66+C67+C68</f>
        <v>33622.808999999994</v>
      </c>
      <c r="D69" s="541">
        <f>B69+C69</f>
        <v>90763.61799999999</v>
      </c>
      <c r="E69" s="541">
        <f>E66+E67+E68</f>
        <v>21524.462</v>
      </c>
      <c r="F69" s="541">
        <f>F66+F67+F68</f>
        <v>1143.551</v>
      </c>
      <c r="G69" s="541">
        <f>G66+G67+G68</f>
        <v>22668.013</v>
      </c>
      <c r="H69" s="541">
        <f>H66+H67+H68</f>
        <v>240354.559</v>
      </c>
      <c r="I69" s="541">
        <f>D69+G69+H69</f>
        <v>353786.19</v>
      </c>
    </row>
    <row r="70" spans="1:9" ht="15">
      <c r="A70" s="539" t="s">
        <v>456</v>
      </c>
      <c r="B70" s="86"/>
      <c r="C70" s="86"/>
      <c r="D70" s="86"/>
      <c r="E70" s="86"/>
      <c r="F70" s="86"/>
      <c r="G70" s="86"/>
      <c r="H70" s="86"/>
      <c r="I70" s="541">
        <f>191507+140197.408</f>
        <v>331704.408</v>
      </c>
    </row>
    <row r="71" spans="1:9" ht="15">
      <c r="A71" s="539" t="s">
        <v>457</v>
      </c>
      <c r="B71" s="86"/>
      <c r="C71" s="86"/>
      <c r="D71" s="86"/>
      <c r="E71" s="86"/>
      <c r="F71" s="86"/>
      <c r="G71" s="86"/>
      <c r="H71" s="86"/>
      <c r="I71" s="86">
        <f>I66</f>
        <v>191507</v>
      </c>
    </row>
    <row r="72" spans="1:9" ht="15">
      <c r="A72" s="542" t="s">
        <v>458</v>
      </c>
      <c r="B72" s="564">
        <f>21171-3640</f>
        <v>17531</v>
      </c>
      <c r="C72" s="564">
        <f>28643-28643</f>
        <v>0</v>
      </c>
      <c r="D72" s="544">
        <f>B72+C72</f>
        <v>17531</v>
      </c>
      <c r="E72" s="564">
        <f>G72-F72</f>
        <v>7476.38</v>
      </c>
      <c r="F72" s="564">
        <f>B72*0.02</f>
        <v>350.62</v>
      </c>
      <c r="G72" s="564">
        <f>10201-2374</f>
        <v>7827</v>
      </c>
      <c r="H72" s="564">
        <f>92074+54-38807</f>
        <v>53321</v>
      </c>
      <c r="I72" s="544">
        <f>B72+C72+F72+E72+H72</f>
        <v>78679</v>
      </c>
    </row>
    <row r="73" spans="2:9" ht="15">
      <c r="B73" s="536" t="s">
        <v>459</v>
      </c>
      <c r="I73" s="546">
        <f>I70-I69</f>
        <v>-22081.782000000007</v>
      </c>
    </row>
    <row r="75" spans="1:9" ht="30">
      <c r="A75" s="537" t="s">
        <v>255</v>
      </c>
      <c r="B75" s="538" t="s">
        <v>447</v>
      </c>
      <c r="C75" s="538" t="s">
        <v>448</v>
      </c>
      <c r="D75" s="539" t="s">
        <v>137</v>
      </c>
      <c r="E75" s="538" t="s">
        <v>449</v>
      </c>
      <c r="F75" s="538" t="s">
        <v>23</v>
      </c>
      <c r="G75" s="538" t="s">
        <v>460</v>
      </c>
      <c r="H75" s="538" t="s">
        <v>451</v>
      </c>
      <c r="I75" s="538" t="s">
        <v>106</v>
      </c>
    </row>
    <row r="76" spans="1:9" ht="15">
      <c r="A76" s="539" t="s">
        <v>452</v>
      </c>
      <c r="B76" s="540">
        <f>UR10!C57</f>
        <v>1491</v>
      </c>
      <c r="C76" s="540">
        <f>UR10!D56+UR10!D57+UR10!D58</f>
        <v>1398</v>
      </c>
      <c r="D76" s="86">
        <f>B76+C76</f>
        <v>2889</v>
      </c>
      <c r="E76" s="86">
        <f>UR10!F57</f>
        <v>773</v>
      </c>
      <c r="F76" s="86">
        <f>UR10!G57</f>
        <v>31</v>
      </c>
      <c r="G76" s="86">
        <f>SUM(E76:F76)</f>
        <v>804</v>
      </c>
      <c r="H76" s="86">
        <f>UR10!H56+UR10!H57</f>
        <v>1735</v>
      </c>
      <c r="I76" s="86">
        <f>D76+G76+H76</f>
        <v>5428</v>
      </c>
    </row>
    <row r="77" spans="1:9" ht="15">
      <c r="A77" s="539" t="s">
        <v>453</v>
      </c>
      <c r="B77" s="540"/>
      <c r="C77" s="540"/>
      <c r="D77" s="86">
        <f>B77+C77</f>
        <v>0</v>
      </c>
      <c r="E77" s="86"/>
      <c r="F77" s="86"/>
      <c r="G77" s="86">
        <f>SUM(E77:F77)</f>
        <v>0</v>
      </c>
      <c r="H77" s="86"/>
      <c r="I77" s="86">
        <f>D77+G77+H77</f>
        <v>0</v>
      </c>
    </row>
    <row r="78" spans="1:9" ht="15">
      <c r="A78" s="539" t="s">
        <v>454</v>
      </c>
      <c r="B78" s="188"/>
      <c r="C78" s="86"/>
      <c r="D78" s="86">
        <f>B78+C78</f>
        <v>0</v>
      </c>
      <c r="E78" s="86"/>
      <c r="F78" s="86"/>
      <c r="G78" s="86">
        <f>SUM(E78:F78)</f>
        <v>0</v>
      </c>
      <c r="H78" s="86"/>
      <c r="I78" s="86">
        <f>D78+G78+H78</f>
        <v>0</v>
      </c>
    </row>
    <row r="79" spans="1:9" ht="15">
      <c r="A79" s="537" t="s">
        <v>455</v>
      </c>
      <c r="B79" s="541">
        <f>B76+B77+B78</f>
        <v>1491</v>
      </c>
      <c r="C79" s="541">
        <f>C76+C77+C78</f>
        <v>1398</v>
      </c>
      <c r="D79" s="541">
        <f>B79+C79</f>
        <v>2889</v>
      </c>
      <c r="E79" s="541">
        <f>E76+E77+E78</f>
        <v>773</v>
      </c>
      <c r="F79" s="541">
        <f>F76+F77+F78</f>
        <v>31</v>
      </c>
      <c r="G79" s="541">
        <f>G76+G77+G78</f>
        <v>804</v>
      </c>
      <c r="H79" s="541">
        <f>H76+H77+H78</f>
        <v>1735</v>
      </c>
      <c r="I79" s="541">
        <f>D79+G79+H79</f>
        <v>5428</v>
      </c>
    </row>
    <row r="80" spans="1:9" ht="15">
      <c r="A80" s="539" t="s">
        <v>456</v>
      </c>
      <c r="B80" s="86"/>
      <c r="C80" s="86"/>
      <c r="D80" s="86"/>
      <c r="E80" s="86"/>
      <c r="F80" s="86"/>
      <c r="G80" s="86"/>
      <c r="H80" s="86"/>
      <c r="I80" s="541">
        <v>5428</v>
      </c>
    </row>
    <row r="81" spans="1:9" ht="15">
      <c r="A81" s="539" t="s">
        <v>457</v>
      </c>
      <c r="B81" s="86"/>
      <c r="C81" s="86"/>
      <c r="D81" s="86"/>
      <c r="E81" s="86"/>
      <c r="F81" s="86"/>
      <c r="G81" s="86"/>
      <c r="H81" s="86"/>
      <c r="I81" s="86">
        <f>I76</f>
        <v>5428</v>
      </c>
    </row>
    <row r="82" spans="1:9" ht="15">
      <c r="A82" s="542" t="s">
        <v>458</v>
      </c>
      <c r="B82" s="564"/>
      <c r="C82" s="564"/>
      <c r="D82" s="544">
        <f>B82+C82</f>
        <v>0</v>
      </c>
      <c r="E82" s="564">
        <f>G82-F82</f>
        <v>0</v>
      </c>
      <c r="F82" s="564">
        <f>B82*0.02</f>
        <v>0</v>
      </c>
      <c r="G82" s="564"/>
      <c r="H82" s="564"/>
      <c r="I82" s="544">
        <f>B82+C82+F82+E82+H82</f>
        <v>0</v>
      </c>
    </row>
    <row r="83" spans="2:9" ht="15">
      <c r="B83" s="536" t="s">
        <v>459</v>
      </c>
      <c r="I83" s="546">
        <f>I80-I79</f>
        <v>0</v>
      </c>
    </row>
    <row r="85" spans="1:9" ht="30">
      <c r="A85" s="537" t="s">
        <v>105</v>
      </c>
      <c r="B85" s="538" t="s">
        <v>447</v>
      </c>
      <c r="C85" s="538" t="s">
        <v>448</v>
      </c>
      <c r="D85" s="539" t="s">
        <v>137</v>
      </c>
      <c r="E85" s="538" t="s">
        <v>449</v>
      </c>
      <c r="F85" s="538" t="s">
        <v>23</v>
      </c>
      <c r="G85" s="538" t="s">
        <v>460</v>
      </c>
      <c r="H85" s="538" t="s">
        <v>451</v>
      </c>
      <c r="I85" s="538" t="s">
        <v>106</v>
      </c>
    </row>
    <row r="86" spans="1:9" ht="15">
      <c r="A86" s="539" t="s">
        <v>452</v>
      </c>
      <c r="B86" s="540">
        <f>UR10!C60</f>
        <v>2385</v>
      </c>
      <c r="C86" s="540">
        <f>UR10!D60</f>
        <v>455</v>
      </c>
      <c r="D86" s="86">
        <f>B86+C86</f>
        <v>2840</v>
      </c>
      <c r="E86" s="86">
        <f>UR10!F60</f>
        <v>820</v>
      </c>
      <c r="F86" s="86">
        <f>UR10!G60</f>
        <v>48</v>
      </c>
      <c r="G86" s="86">
        <f>SUM(E86:F86)</f>
        <v>868</v>
      </c>
      <c r="H86" s="86">
        <f>UR10!H60</f>
        <v>8716</v>
      </c>
      <c r="I86" s="86">
        <f>D86+G86+H86</f>
        <v>12424</v>
      </c>
    </row>
    <row r="87" spans="1:9" ht="15">
      <c r="A87" s="539" t="s">
        <v>453</v>
      </c>
      <c r="B87" s="540"/>
      <c r="C87" s="540"/>
      <c r="D87" s="86">
        <f>B87+C87</f>
        <v>0</v>
      </c>
      <c r="E87" s="86"/>
      <c r="F87" s="86"/>
      <c r="G87" s="86">
        <f>SUM(E87:F87)</f>
        <v>0</v>
      </c>
      <c r="H87" s="86"/>
      <c r="I87" s="86">
        <f>D87+G87+H87</f>
        <v>0</v>
      </c>
    </row>
    <row r="88" spans="1:9" ht="15">
      <c r="A88" s="539" t="s">
        <v>454</v>
      </c>
      <c r="B88" s="188"/>
      <c r="C88" s="86"/>
      <c r="D88" s="86">
        <f>B88+C88</f>
        <v>0</v>
      </c>
      <c r="E88" s="86"/>
      <c r="F88" s="86"/>
      <c r="G88" s="86">
        <f>SUM(E88:F88)</f>
        <v>0</v>
      </c>
      <c r="H88" s="86"/>
      <c r="I88" s="86">
        <f>D88+G88+H88</f>
        <v>0</v>
      </c>
    </row>
    <row r="89" spans="1:9" ht="15">
      <c r="A89" s="537" t="s">
        <v>455</v>
      </c>
      <c r="B89" s="541">
        <f>B86+B87+B88</f>
        <v>2385</v>
      </c>
      <c r="C89" s="541">
        <f>C86+C87+C88</f>
        <v>455</v>
      </c>
      <c r="D89" s="541">
        <f>B89+C89</f>
        <v>2840</v>
      </c>
      <c r="E89" s="541">
        <f>E86+E87+E88</f>
        <v>820</v>
      </c>
      <c r="F89" s="541">
        <f>F86+F87+F88</f>
        <v>48</v>
      </c>
      <c r="G89" s="541">
        <f>G86+G87+G88</f>
        <v>868</v>
      </c>
      <c r="H89" s="541">
        <f>H86+H87+H88</f>
        <v>8716</v>
      </c>
      <c r="I89" s="541">
        <f>D89+G89+H89</f>
        <v>12424</v>
      </c>
    </row>
    <row r="90" spans="1:9" ht="15">
      <c r="A90" s="539" t="s">
        <v>456</v>
      </c>
      <c r="B90" s="86"/>
      <c r="C90" s="86"/>
      <c r="D90" s="86"/>
      <c r="E90" s="86"/>
      <c r="F90" s="86"/>
      <c r="G90" s="86"/>
      <c r="H90" s="86"/>
      <c r="I90" s="541">
        <v>12424</v>
      </c>
    </row>
    <row r="91" spans="1:9" ht="15">
      <c r="A91" s="539" t="s">
        <v>457</v>
      </c>
      <c r="B91" s="86"/>
      <c r="C91" s="86"/>
      <c r="D91" s="86"/>
      <c r="E91" s="86"/>
      <c r="F91" s="86"/>
      <c r="G91" s="86"/>
      <c r="H91" s="86"/>
      <c r="I91" s="86">
        <f>I86</f>
        <v>12424</v>
      </c>
    </row>
    <row r="92" spans="1:9" ht="15">
      <c r="A92" s="542" t="s">
        <v>458</v>
      </c>
      <c r="B92" s="564"/>
      <c r="C92" s="564"/>
      <c r="D92" s="544">
        <f>B92+C92</f>
        <v>0</v>
      </c>
      <c r="E92" s="564">
        <f>G92-F92</f>
        <v>0</v>
      </c>
      <c r="F92" s="564">
        <f>B92*0.02</f>
        <v>0</v>
      </c>
      <c r="G92" s="564"/>
      <c r="H92" s="564"/>
      <c r="I92" s="544">
        <f>B92+C92+F92+E92+H92</f>
        <v>0</v>
      </c>
    </row>
    <row r="93" spans="2:9" ht="15">
      <c r="B93" s="536" t="s">
        <v>459</v>
      </c>
      <c r="I93" s="546">
        <f>I90-I89</f>
        <v>0</v>
      </c>
    </row>
    <row r="94" spans="2:9" ht="15">
      <c r="B94" s="536"/>
      <c r="I94" s="546"/>
    </row>
    <row r="95" spans="1:9" ht="30">
      <c r="A95" s="537" t="s">
        <v>106</v>
      </c>
      <c r="B95" s="538" t="s">
        <v>447</v>
      </c>
      <c r="C95" s="538" t="s">
        <v>448</v>
      </c>
      <c r="D95" s="539" t="s">
        <v>137</v>
      </c>
      <c r="E95" s="538" t="s">
        <v>449</v>
      </c>
      <c r="F95" s="538" t="s">
        <v>23</v>
      </c>
      <c r="G95" s="538" t="s">
        <v>460</v>
      </c>
      <c r="H95" s="538" t="s">
        <v>451</v>
      </c>
      <c r="I95" s="538" t="s">
        <v>106</v>
      </c>
    </row>
    <row r="96" spans="1:9" ht="15">
      <c r="A96" s="539" t="s">
        <v>452</v>
      </c>
      <c r="B96" s="540">
        <f>B6+B16+B26+B36+B46+B56+B66+B76+B86</f>
        <v>159648</v>
      </c>
      <c r="C96" s="540">
        <f aca="true" t="shared" si="0" ref="C96:H96">C6+C16+C26+C36+C46+C56+C66+C76+C86</f>
        <v>16964</v>
      </c>
      <c r="D96" s="86">
        <f t="shared" si="0"/>
        <v>176612</v>
      </c>
      <c r="E96" s="540">
        <f t="shared" si="0"/>
        <v>56141</v>
      </c>
      <c r="F96" s="540">
        <f t="shared" si="0"/>
        <v>3184</v>
      </c>
      <c r="G96" s="86">
        <f t="shared" si="0"/>
        <v>59325</v>
      </c>
      <c r="H96" s="540">
        <f t="shared" si="0"/>
        <v>487741</v>
      </c>
      <c r="I96" s="86">
        <f>D96+G96+H96</f>
        <v>723678</v>
      </c>
    </row>
    <row r="97" spans="1:9" ht="15">
      <c r="A97" s="539" t="s">
        <v>453</v>
      </c>
      <c r="B97" s="540">
        <f aca="true" t="shared" si="1" ref="B97:H97">B7+B17+B27+B37+B47+B57+B67+B77+B87</f>
        <v>15241</v>
      </c>
      <c r="C97" s="540">
        <f t="shared" si="1"/>
        <v>14084</v>
      </c>
      <c r="D97" s="86">
        <f t="shared" si="1"/>
        <v>29325</v>
      </c>
      <c r="E97" s="540">
        <f t="shared" si="1"/>
        <v>6338.5</v>
      </c>
      <c r="F97" s="540">
        <f t="shared" si="1"/>
        <v>305</v>
      </c>
      <c r="G97" s="86">
        <f t="shared" si="1"/>
        <v>6643.5</v>
      </c>
      <c r="H97" s="540">
        <f t="shared" si="1"/>
        <v>27720.93</v>
      </c>
      <c r="I97" s="86">
        <f>D97+G97+H97</f>
        <v>63689.43</v>
      </c>
    </row>
    <row r="98" spans="1:9" ht="15">
      <c r="A98" s="539" t="s">
        <v>454</v>
      </c>
      <c r="B98" s="540">
        <f aca="true" t="shared" si="2" ref="B98:H98">B8+B18+B28+B38+B48+B58+B68+B78+B88</f>
        <v>48902.314</v>
      </c>
      <c r="C98" s="540">
        <f t="shared" si="2"/>
        <v>29866.778</v>
      </c>
      <c r="D98" s="86">
        <f t="shared" si="2"/>
        <v>78769.092</v>
      </c>
      <c r="E98" s="540">
        <f t="shared" si="2"/>
        <v>19172.308</v>
      </c>
      <c r="F98" s="540">
        <f t="shared" si="2"/>
        <v>964.4730000000001</v>
      </c>
      <c r="G98" s="86">
        <f t="shared" si="2"/>
        <v>20136.781</v>
      </c>
      <c r="H98" s="540">
        <f t="shared" si="2"/>
        <v>99251.109</v>
      </c>
      <c r="I98" s="86">
        <f>D98+G98+H98</f>
        <v>198156.98200000002</v>
      </c>
    </row>
    <row r="99" spans="1:9" ht="15">
      <c r="A99" s="537" t="s">
        <v>455</v>
      </c>
      <c r="B99" s="541">
        <f>B96+B97+B98</f>
        <v>223791.314</v>
      </c>
      <c r="C99" s="541">
        <f>C96+C97+C98</f>
        <v>60914.778</v>
      </c>
      <c r="D99" s="541">
        <f>B99+C99</f>
        <v>284706.092</v>
      </c>
      <c r="E99" s="541">
        <f>E96+E97+E98</f>
        <v>81651.808</v>
      </c>
      <c r="F99" s="541">
        <f>F96+F97+F98</f>
        <v>4453.473</v>
      </c>
      <c r="G99" s="541">
        <f>G96+G97+G98</f>
        <v>86105.281</v>
      </c>
      <c r="H99" s="541">
        <f>H96+H97+H98</f>
        <v>614713.039</v>
      </c>
      <c r="I99" s="541">
        <f>D99+G99+H99-1</f>
        <v>985523.412</v>
      </c>
    </row>
    <row r="100" spans="1:9" ht="15">
      <c r="A100" s="539" t="s">
        <v>456</v>
      </c>
      <c r="B100" s="540">
        <f>B10+B20+B30+B40+B50+B60</f>
        <v>0</v>
      </c>
      <c r="C100" s="86"/>
      <c r="D100" s="86"/>
      <c r="E100" s="86"/>
      <c r="F100" s="86"/>
      <c r="G100" s="86"/>
      <c r="H100" s="86"/>
      <c r="I100" s="541">
        <f>I10+I20+I30+I40+I50+I60+I70+I80+I90</f>
        <v>920629.693</v>
      </c>
    </row>
    <row r="101" spans="1:9" ht="15">
      <c r="A101" s="539" t="s">
        <v>457</v>
      </c>
      <c r="B101" s="86"/>
      <c r="C101" s="86"/>
      <c r="D101" s="86"/>
      <c r="E101" s="86"/>
      <c r="F101" s="86"/>
      <c r="G101" s="86"/>
      <c r="H101" s="86"/>
      <c r="I101" s="541">
        <f>I11+I21+I31+I41+I51+I61+I71+I81+I91</f>
        <v>723678</v>
      </c>
    </row>
    <row r="102" spans="1:9" ht="15">
      <c r="A102" s="542" t="s">
        <v>458</v>
      </c>
      <c r="B102" s="564">
        <f>B12+B22+B32+B42+B52+B62+B72+B82+B92</f>
        <v>29847</v>
      </c>
      <c r="C102" s="564">
        <f aca="true" t="shared" si="3" ref="C102:H102">C12+C22+C32+C42+C52+C62+C72+C82+C92</f>
        <v>5674</v>
      </c>
      <c r="D102" s="544">
        <f t="shared" si="3"/>
        <v>35521</v>
      </c>
      <c r="E102" s="564">
        <f t="shared" si="3"/>
        <v>13452.060000000001</v>
      </c>
      <c r="F102" s="564">
        <f t="shared" si="3"/>
        <v>596.94</v>
      </c>
      <c r="G102" s="565">
        <f t="shared" si="3"/>
        <v>14049</v>
      </c>
      <c r="H102" s="564">
        <f t="shared" si="3"/>
        <v>65814</v>
      </c>
      <c r="I102" s="544">
        <f>D102+G102+H102</f>
        <v>115384</v>
      </c>
    </row>
    <row r="103" spans="2:9" ht="15">
      <c r="B103" s="84" t="s">
        <v>459</v>
      </c>
      <c r="C103" s="84"/>
      <c r="D103" s="84"/>
      <c r="I103" s="546">
        <f>I100-I99</f>
        <v>-64893.71900000004</v>
      </c>
    </row>
    <row r="105" ht="12.75">
      <c r="A105" s="84" t="s">
        <v>461</v>
      </c>
    </row>
    <row r="107" spans="1:9" ht="12.75">
      <c r="A107" s="536" t="s">
        <v>462</v>
      </c>
      <c r="I107" s="547">
        <f>I101</f>
        <v>723678</v>
      </c>
    </row>
    <row r="108" spans="1:9" ht="12.75">
      <c r="A108" s="536" t="s">
        <v>453</v>
      </c>
      <c r="I108" s="548">
        <f>I97</f>
        <v>63689.43</v>
      </c>
    </row>
    <row r="109" spans="1:10" ht="12.75">
      <c r="A109" s="536" t="s">
        <v>454</v>
      </c>
      <c r="I109" s="548">
        <f>I98</f>
        <v>198156.98200000002</v>
      </c>
      <c r="J109" s="549"/>
    </row>
    <row r="110" spans="1:9" ht="12.75">
      <c r="A110" s="536"/>
      <c r="I110" s="547">
        <f>I107+I108+I109</f>
        <v>985524.412</v>
      </c>
    </row>
    <row r="111" spans="1:9" ht="12.75">
      <c r="A111" s="536"/>
      <c r="I111" s="547"/>
    </row>
    <row r="112" spans="1:9" ht="12.75">
      <c r="A112" s="536" t="s">
        <v>463</v>
      </c>
      <c r="I112" s="547">
        <f>I100</f>
        <v>920629.693</v>
      </c>
    </row>
    <row r="113" spans="1:9" ht="12.75">
      <c r="A113" s="536" t="s">
        <v>464</v>
      </c>
      <c r="I113" s="547">
        <f>I96</f>
        <v>723678</v>
      </c>
    </row>
    <row r="114" spans="1:9" ht="12.75">
      <c r="A114" s="536" t="s">
        <v>465</v>
      </c>
      <c r="H114" s="536"/>
      <c r="I114" s="563">
        <f>I112-I113</f>
        <v>196951.69299999997</v>
      </c>
    </row>
    <row r="115" spans="8:11" ht="12.75">
      <c r="H115" s="536"/>
      <c r="I115" s="84"/>
      <c r="K115" s="549"/>
    </row>
    <row r="116" ht="12.75">
      <c r="N116" s="536" t="s">
        <v>466</v>
      </c>
    </row>
  </sheetData>
  <sheetProtection/>
  <mergeCells count="1">
    <mergeCell ref="A3:I3"/>
  </mergeCells>
  <printOptions horizontalCentered="1" verticalCentered="1"/>
  <pageMargins left="0.2362204724409449" right="0.2755905511811024" top="0.2755905511811024" bottom="0.2755905511811024" header="0.31496062992125984" footer="0.31496062992125984"/>
  <pageSetup fitToHeight="1" fitToWidth="1"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51"/>
  <sheetViews>
    <sheetView zoomScale="85" zoomScaleNormal="85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8" sqref="F58"/>
    </sheetView>
  </sheetViews>
  <sheetFormatPr defaultColWidth="9.140625" defaultRowHeight="12.75"/>
  <cols>
    <col min="1" max="1" width="9.7109375" style="0" customWidth="1"/>
    <col min="2" max="2" width="41.7109375" style="0" customWidth="1"/>
    <col min="3" max="4" width="10.28125" style="0" bestFit="1" customWidth="1"/>
    <col min="5" max="5" width="11.28125" style="0" bestFit="1" customWidth="1"/>
    <col min="6" max="6" width="10.28125" style="0" bestFit="1" customWidth="1"/>
    <col min="7" max="7" width="9.28125" style="0" bestFit="1" customWidth="1"/>
    <col min="8" max="8" width="11.28125" style="0" bestFit="1" customWidth="1"/>
    <col min="9" max="9" width="5.7109375" style="146" bestFit="1" customWidth="1"/>
    <col min="10" max="12" width="11.28125" style="0" bestFit="1" customWidth="1"/>
    <col min="13" max="13" width="3.8515625" style="146" bestFit="1" customWidth="1"/>
    <col min="14" max="14" width="11.7109375" style="0" customWidth="1"/>
    <col min="15" max="15" width="6.7109375" style="0" bestFit="1" customWidth="1"/>
    <col min="16" max="16" width="3.8515625" style="0" customWidth="1"/>
    <col min="17" max="17" width="10.28125" style="0" bestFit="1" customWidth="1"/>
  </cols>
  <sheetData>
    <row r="1" spans="1:14" ht="15.75">
      <c r="A1" s="145" t="s">
        <v>244</v>
      </c>
      <c r="I1"/>
      <c r="N1" s="145" t="s">
        <v>134</v>
      </c>
    </row>
    <row r="2" spans="1:14" ht="16.5" thickBot="1">
      <c r="A2" s="145"/>
      <c r="N2" t="s">
        <v>1</v>
      </c>
    </row>
    <row r="3" spans="1:15" ht="49.5" customHeight="1">
      <c r="A3" s="262"/>
      <c r="B3" s="263"/>
      <c r="C3" s="149" t="s">
        <v>135</v>
      </c>
      <c r="D3" s="443" t="s">
        <v>136</v>
      </c>
      <c r="E3" s="444" t="s">
        <v>137</v>
      </c>
      <c r="F3" s="445" t="s">
        <v>138</v>
      </c>
      <c r="G3" s="446" t="s">
        <v>139</v>
      </c>
      <c r="H3" s="443" t="s">
        <v>140</v>
      </c>
      <c r="I3" s="216" t="s">
        <v>184</v>
      </c>
      <c r="J3" s="444" t="s">
        <v>141</v>
      </c>
      <c r="K3" s="444" t="s">
        <v>142</v>
      </c>
      <c r="L3" s="153" t="s">
        <v>143</v>
      </c>
      <c r="M3" s="153" t="s">
        <v>144</v>
      </c>
      <c r="N3" s="153" t="s">
        <v>145</v>
      </c>
      <c r="O3" s="444" t="s">
        <v>146</v>
      </c>
    </row>
    <row r="4" spans="1:15" ht="36" customHeight="1" thickBot="1">
      <c r="A4" s="154" t="s">
        <v>147</v>
      </c>
      <c r="B4" s="155" t="s">
        <v>148</v>
      </c>
      <c r="C4" s="156" t="s">
        <v>385</v>
      </c>
      <c r="D4" s="157" t="s">
        <v>386</v>
      </c>
      <c r="E4" s="158"/>
      <c r="F4" s="159" t="s">
        <v>387</v>
      </c>
      <c r="G4" s="160" t="s">
        <v>388</v>
      </c>
      <c r="H4" s="160" t="s">
        <v>389</v>
      </c>
      <c r="I4" s="161"/>
      <c r="J4" s="158"/>
      <c r="K4" s="158"/>
      <c r="L4" s="158"/>
      <c r="M4" s="162"/>
      <c r="N4" s="158"/>
      <c r="O4" s="163">
        <v>5336</v>
      </c>
    </row>
    <row r="5" spans="1:15" ht="12" customHeight="1" hidden="1">
      <c r="A5" s="383" t="s">
        <v>390</v>
      </c>
      <c r="B5" s="384" t="s">
        <v>391</v>
      </c>
      <c r="C5" s="447">
        <v>1014.9</v>
      </c>
      <c r="D5" s="385">
        <v>1062.925</v>
      </c>
      <c r="E5" s="386">
        <f aca="true" t="shared" si="0" ref="E5:E34">SUM(C5:D5)</f>
        <v>2077.825</v>
      </c>
      <c r="F5" s="387">
        <v>483.225</v>
      </c>
      <c r="G5" s="388">
        <v>20.4</v>
      </c>
      <c r="H5" s="388">
        <v>516.587</v>
      </c>
      <c r="I5" s="389"/>
      <c r="J5" s="386">
        <f aca="true" t="shared" si="1" ref="J5:J34">SUM(H5:I5)</f>
        <v>516.587</v>
      </c>
      <c r="K5" s="386">
        <f aca="true" t="shared" si="2" ref="K5:K34">SUM(F5,G5,J5)</f>
        <v>1020.212</v>
      </c>
      <c r="L5" s="386">
        <f aca="true" t="shared" si="3" ref="L5:L34">SUM(E5,K5)</f>
        <v>3098.037</v>
      </c>
      <c r="M5" s="390"/>
      <c r="N5" s="386">
        <f aca="true" t="shared" si="4" ref="N5:N34">SUM(L5,M5)</f>
        <v>3098.037</v>
      </c>
      <c r="O5" s="391">
        <v>3</v>
      </c>
    </row>
    <row r="6" spans="1:15" ht="12" customHeight="1" hidden="1">
      <c r="A6" s="392" t="s">
        <v>392</v>
      </c>
      <c r="B6" s="393" t="s">
        <v>393</v>
      </c>
      <c r="C6" s="448">
        <v>179.1</v>
      </c>
      <c r="D6" s="394">
        <v>187.575</v>
      </c>
      <c r="E6" s="395">
        <f t="shared" si="0"/>
        <v>366.67499999999995</v>
      </c>
      <c r="F6" s="396">
        <v>85.275</v>
      </c>
      <c r="G6" s="397">
        <v>3.6</v>
      </c>
      <c r="H6" s="397">
        <v>91.163</v>
      </c>
      <c r="I6" s="398"/>
      <c r="J6" s="395">
        <f t="shared" si="1"/>
        <v>91.163</v>
      </c>
      <c r="K6" s="395">
        <f t="shared" si="2"/>
        <v>180.038</v>
      </c>
      <c r="L6" s="395">
        <f t="shared" si="3"/>
        <v>546.713</v>
      </c>
      <c r="M6" s="399"/>
      <c r="N6" s="395">
        <f t="shared" si="4"/>
        <v>546.713</v>
      </c>
      <c r="O6" s="400">
        <v>1.7</v>
      </c>
    </row>
    <row r="7" spans="1:15" ht="12" customHeight="1" hidden="1">
      <c r="A7" s="392" t="s">
        <v>394</v>
      </c>
      <c r="B7" s="393" t="s">
        <v>395</v>
      </c>
      <c r="C7" s="448">
        <v>865.3</v>
      </c>
      <c r="D7" s="394">
        <v>481.525</v>
      </c>
      <c r="E7" s="395">
        <f t="shared" si="0"/>
        <v>1346.8249999999998</v>
      </c>
      <c r="F7" s="396">
        <v>414.8</v>
      </c>
      <c r="G7" s="397">
        <v>17.425</v>
      </c>
      <c r="H7" s="397">
        <v>2034.475</v>
      </c>
      <c r="I7" s="398"/>
      <c r="J7" s="395">
        <f t="shared" si="1"/>
        <v>2034.475</v>
      </c>
      <c r="K7" s="395">
        <f t="shared" si="2"/>
        <v>2466.7</v>
      </c>
      <c r="L7" s="395">
        <f t="shared" si="3"/>
        <v>3813.5249999999996</v>
      </c>
      <c r="M7" s="399"/>
      <c r="N7" s="395">
        <f t="shared" si="4"/>
        <v>3813.5249999999996</v>
      </c>
      <c r="O7" s="400">
        <v>3</v>
      </c>
    </row>
    <row r="8" spans="1:15" ht="12" customHeight="1" hidden="1" thickBot="1">
      <c r="A8" s="451" t="s">
        <v>396</v>
      </c>
      <c r="B8" s="452" t="s">
        <v>397</v>
      </c>
      <c r="C8" s="453">
        <v>152.7</v>
      </c>
      <c r="D8" s="454">
        <v>84.975</v>
      </c>
      <c r="E8" s="455">
        <f t="shared" si="0"/>
        <v>237.67499999999998</v>
      </c>
      <c r="F8" s="456">
        <v>73.2</v>
      </c>
      <c r="G8" s="457">
        <v>3.075</v>
      </c>
      <c r="H8" s="457">
        <v>359.025</v>
      </c>
      <c r="I8" s="458"/>
      <c r="J8" s="455">
        <f t="shared" si="1"/>
        <v>359.025</v>
      </c>
      <c r="K8" s="455">
        <f t="shared" si="2"/>
        <v>435.29999999999995</v>
      </c>
      <c r="L8" s="455">
        <f t="shared" si="3"/>
        <v>672.9749999999999</v>
      </c>
      <c r="M8" s="459"/>
      <c r="N8" s="455">
        <f t="shared" si="4"/>
        <v>672.9749999999999</v>
      </c>
      <c r="O8" s="460">
        <v>1.3</v>
      </c>
    </row>
    <row r="9" spans="1:15" ht="12" customHeight="1" hidden="1" thickBot="1">
      <c r="A9" s="461"/>
      <c r="B9" s="462" t="s">
        <v>443</v>
      </c>
      <c r="C9" s="463">
        <f>SUM(C5:C8)</f>
        <v>2212</v>
      </c>
      <c r="D9" s="464">
        <f aca="true" t="shared" si="5" ref="D9:O9">SUM(D5:D8)</f>
        <v>1817</v>
      </c>
      <c r="E9" s="465">
        <f t="shared" si="5"/>
        <v>4029</v>
      </c>
      <c r="F9" s="466">
        <f t="shared" si="5"/>
        <v>1056.5</v>
      </c>
      <c r="G9" s="467">
        <f t="shared" si="5"/>
        <v>44.5</v>
      </c>
      <c r="H9" s="467">
        <f t="shared" si="5"/>
        <v>3001.25</v>
      </c>
      <c r="I9" s="468">
        <f t="shared" si="5"/>
        <v>0</v>
      </c>
      <c r="J9" s="465">
        <f t="shared" si="5"/>
        <v>3001.25</v>
      </c>
      <c r="K9" s="465">
        <f t="shared" si="5"/>
        <v>4102.25</v>
      </c>
      <c r="L9" s="465">
        <f t="shared" si="5"/>
        <v>8131.25</v>
      </c>
      <c r="M9" s="469">
        <f t="shared" si="5"/>
        <v>0</v>
      </c>
      <c r="N9" s="465">
        <f t="shared" si="5"/>
        <v>8131.25</v>
      </c>
      <c r="O9" s="470">
        <f t="shared" si="5"/>
        <v>9</v>
      </c>
    </row>
    <row r="10" spans="1:15" ht="12" customHeight="1" hidden="1">
      <c r="A10" s="471" t="s">
        <v>390</v>
      </c>
      <c r="B10" s="472" t="s">
        <v>391</v>
      </c>
      <c r="C10" s="473">
        <v>1975.774</v>
      </c>
      <c r="D10" s="474">
        <v>2185.568</v>
      </c>
      <c r="E10" s="475">
        <f t="shared" si="0"/>
        <v>4161.342000000001</v>
      </c>
      <c r="F10" s="473">
        <v>942.248</v>
      </c>
      <c r="G10" s="476">
        <v>39.596</v>
      </c>
      <c r="H10" s="476">
        <v>1304.018</v>
      </c>
      <c r="I10" s="477"/>
      <c r="J10" s="475">
        <f t="shared" si="1"/>
        <v>1304.018</v>
      </c>
      <c r="K10" s="475">
        <f t="shared" si="2"/>
        <v>2285.862</v>
      </c>
      <c r="L10" s="475">
        <f t="shared" si="3"/>
        <v>6447.204000000001</v>
      </c>
      <c r="M10" s="478"/>
      <c r="N10" s="475">
        <f t="shared" si="4"/>
        <v>6447.204000000001</v>
      </c>
      <c r="O10" s="479"/>
    </row>
    <row r="11" spans="1:15" ht="12" customHeight="1" hidden="1">
      <c r="A11" s="401" t="s">
        <v>392</v>
      </c>
      <c r="B11" s="402" t="s">
        <v>393</v>
      </c>
      <c r="C11" s="405">
        <v>349.137</v>
      </c>
      <c r="D11" s="403">
        <v>385.983</v>
      </c>
      <c r="E11" s="404">
        <f t="shared" si="0"/>
        <v>735.12</v>
      </c>
      <c r="F11" s="405">
        <v>166.985</v>
      </c>
      <c r="G11" s="406">
        <v>7.223</v>
      </c>
      <c r="H11" s="406">
        <v>230.003</v>
      </c>
      <c r="I11" s="407"/>
      <c r="J11" s="404">
        <f t="shared" si="1"/>
        <v>230.003</v>
      </c>
      <c r="K11" s="404">
        <f t="shared" si="2"/>
        <v>404.211</v>
      </c>
      <c r="L11" s="404">
        <f t="shared" si="3"/>
        <v>1139.3310000000001</v>
      </c>
      <c r="M11" s="408"/>
      <c r="N11" s="404">
        <f t="shared" si="4"/>
        <v>1139.3310000000001</v>
      </c>
      <c r="O11" s="409"/>
    </row>
    <row r="12" spans="1:15" ht="12" customHeight="1" hidden="1">
      <c r="A12" s="401" t="s">
        <v>394</v>
      </c>
      <c r="B12" s="402" t="s">
        <v>395</v>
      </c>
      <c r="C12" s="405">
        <v>1825.61</v>
      </c>
      <c r="D12" s="403">
        <v>1102.663</v>
      </c>
      <c r="E12" s="404">
        <f t="shared" si="0"/>
        <v>2928.273</v>
      </c>
      <c r="F12" s="405">
        <v>911.189</v>
      </c>
      <c r="G12" s="406">
        <v>37.313</v>
      </c>
      <c r="H12" s="406">
        <v>4077.271</v>
      </c>
      <c r="I12" s="407"/>
      <c r="J12" s="404">
        <f t="shared" si="1"/>
        <v>4077.271</v>
      </c>
      <c r="K12" s="404">
        <f t="shared" si="2"/>
        <v>5025.773</v>
      </c>
      <c r="L12" s="404">
        <f t="shared" si="3"/>
        <v>7954.046</v>
      </c>
      <c r="M12" s="408"/>
      <c r="N12" s="404">
        <f t="shared" si="4"/>
        <v>7954.046</v>
      </c>
      <c r="O12" s="409"/>
    </row>
    <row r="13" spans="1:15" ht="12" customHeight="1" hidden="1">
      <c r="A13" s="401" t="s">
        <v>396</v>
      </c>
      <c r="B13" s="402" t="s">
        <v>397</v>
      </c>
      <c r="C13" s="405">
        <v>322.99</v>
      </c>
      <c r="D13" s="403">
        <v>194.588</v>
      </c>
      <c r="E13" s="404">
        <f t="shared" si="0"/>
        <v>517.578</v>
      </c>
      <c r="F13" s="405">
        <v>161.387</v>
      </c>
      <c r="G13" s="406">
        <v>6.82</v>
      </c>
      <c r="H13" s="406">
        <v>720.048</v>
      </c>
      <c r="I13" s="407"/>
      <c r="J13" s="404">
        <f t="shared" si="1"/>
        <v>720.048</v>
      </c>
      <c r="K13" s="404">
        <f t="shared" si="2"/>
        <v>888.255</v>
      </c>
      <c r="L13" s="404">
        <f t="shared" si="3"/>
        <v>1405.833</v>
      </c>
      <c r="M13" s="408"/>
      <c r="N13" s="404">
        <f t="shared" si="4"/>
        <v>1405.833</v>
      </c>
      <c r="O13" s="409"/>
    </row>
    <row r="14" spans="1:15" ht="12" customHeight="1" hidden="1">
      <c r="A14" s="401" t="s">
        <v>398</v>
      </c>
      <c r="B14" s="402" t="s">
        <v>399</v>
      </c>
      <c r="C14" s="405"/>
      <c r="D14" s="403">
        <v>38.803</v>
      </c>
      <c r="E14" s="404">
        <f t="shared" si="0"/>
        <v>38.803</v>
      </c>
      <c r="F14" s="405"/>
      <c r="G14" s="406"/>
      <c r="H14" s="406">
        <v>93.5</v>
      </c>
      <c r="I14" s="407"/>
      <c r="J14" s="404">
        <f t="shared" si="1"/>
        <v>93.5</v>
      </c>
      <c r="K14" s="404">
        <f t="shared" si="2"/>
        <v>93.5</v>
      </c>
      <c r="L14" s="404">
        <f t="shared" si="3"/>
        <v>132.303</v>
      </c>
      <c r="M14" s="408"/>
      <c r="N14" s="404">
        <f t="shared" si="4"/>
        <v>132.303</v>
      </c>
      <c r="O14" s="409"/>
    </row>
    <row r="15" spans="1:15" ht="12" customHeight="1" hidden="1">
      <c r="A15" s="401" t="s">
        <v>400</v>
      </c>
      <c r="B15" s="402" t="s">
        <v>401</v>
      </c>
      <c r="C15" s="405"/>
      <c r="D15" s="403">
        <v>6.848</v>
      </c>
      <c r="E15" s="404">
        <f t="shared" si="0"/>
        <v>6.848</v>
      </c>
      <c r="F15" s="405"/>
      <c r="G15" s="406"/>
      <c r="H15" s="406">
        <v>16.5</v>
      </c>
      <c r="I15" s="407"/>
      <c r="J15" s="404">
        <f t="shared" si="1"/>
        <v>16.5</v>
      </c>
      <c r="K15" s="404">
        <f t="shared" si="2"/>
        <v>16.5</v>
      </c>
      <c r="L15" s="404">
        <f t="shared" si="3"/>
        <v>23.348</v>
      </c>
      <c r="M15" s="408"/>
      <c r="N15" s="404">
        <f t="shared" si="4"/>
        <v>23.348</v>
      </c>
      <c r="O15" s="409"/>
    </row>
    <row r="16" spans="1:15" ht="12" customHeight="1" hidden="1">
      <c r="A16" s="401" t="s">
        <v>402</v>
      </c>
      <c r="B16" s="402" t="s">
        <v>403</v>
      </c>
      <c r="C16" s="405">
        <v>21.987</v>
      </c>
      <c r="D16" s="403"/>
      <c r="E16" s="404">
        <f t="shared" si="0"/>
        <v>21.987</v>
      </c>
      <c r="F16" s="405">
        <v>7.474</v>
      </c>
      <c r="G16" s="406">
        <v>0.437</v>
      </c>
      <c r="H16" s="406">
        <v>25.336</v>
      </c>
      <c r="I16" s="407"/>
      <c r="J16" s="404">
        <f t="shared" si="1"/>
        <v>25.336</v>
      </c>
      <c r="K16" s="404">
        <f t="shared" si="2"/>
        <v>33.247</v>
      </c>
      <c r="L16" s="404">
        <f t="shared" si="3"/>
        <v>55.233999999999995</v>
      </c>
      <c r="M16" s="408"/>
      <c r="N16" s="404">
        <f t="shared" si="4"/>
        <v>55.233999999999995</v>
      </c>
      <c r="O16" s="409"/>
    </row>
    <row r="17" spans="1:15" ht="12" customHeight="1" hidden="1">
      <c r="A17" s="401" t="s">
        <v>404</v>
      </c>
      <c r="B17" s="402" t="s">
        <v>405</v>
      </c>
      <c r="C17" s="405">
        <v>3.882</v>
      </c>
      <c r="D17" s="403"/>
      <c r="E17" s="404">
        <f t="shared" si="0"/>
        <v>3.882</v>
      </c>
      <c r="F17" s="405">
        <v>1.322</v>
      </c>
      <c r="G17" s="406">
        <v>0.081</v>
      </c>
      <c r="H17" s="406">
        <v>4.474</v>
      </c>
      <c r="I17" s="407"/>
      <c r="J17" s="404">
        <f t="shared" si="1"/>
        <v>4.474</v>
      </c>
      <c r="K17" s="404">
        <f t="shared" si="2"/>
        <v>5.877000000000001</v>
      </c>
      <c r="L17" s="404">
        <f t="shared" si="3"/>
        <v>9.759</v>
      </c>
      <c r="M17" s="408"/>
      <c r="N17" s="404">
        <f t="shared" si="4"/>
        <v>9.759</v>
      </c>
      <c r="O17" s="409"/>
    </row>
    <row r="18" spans="1:15" ht="12" customHeight="1" hidden="1">
      <c r="A18" s="401" t="s">
        <v>406</v>
      </c>
      <c r="B18" s="402" t="s">
        <v>407</v>
      </c>
      <c r="C18" s="405">
        <v>4.675</v>
      </c>
      <c r="D18" s="403"/>
      <c r="E18" s="404">
        <f t="shared" si="0"/>
        <v>4.675</v>
      </c>
      <c r="F18" s="405">
        <v>1.59</v>
      </c>
      <c r="G18" s="406">
        <v>0.093</v>
      </c>
      <c r="H18" s="406">
        <v>1.996</v>
      </c>
      <c r="I18" s="407"/>
      <c r="J18" s="404">
        <f t="shared" si="1"/>
        <v>1.996</v>
      </c>
      <c r="K18" s="404">
        <f t="shared" si="2"/>
        <v>3.6790000000000003</v>
      </c>
      <c r="L18" s="404">
        <f t="shared" si="3"/>
        <v>8.354</v>
      </c>
      <c r="M18" s="408"/>
      <c r="N18" s="404">
        <f t="shared" si="4"/>
        <v>8.354</v>
      </c>
      <c r="O18" s="409"/>
    </row>
    <row r="19" spans="1:15" ht="12" customHeight="1" hidden="1">
      <c r="A19" s="401" t="s">
        <v>408</v>
      </c>
      <c r="B19" s="402" t="s">
        <v>409</v>
      </c>
      <c r="C19" s="405">
        <v>0.826</v>
      </c>
      <c r="D19" s="403"/>
      <c r="E19" s="404">
        <f t="shared" si="0"/>
        <v>0.826</v>
      </c>
      <c r="F19" s="405">
        <v>0.281</v>
      </c>
      <c r="G19" s="406">
        <v>0.018</v>
      </c>
      <c r="H19" s="406">
        <v>0.353</v>
      </c>
      <c r="I19" s="407"/>
      <c r="J19" s="404">
        <f t="shared" si="1"/>
        <v>0.353</v>
      </c>
      <c r="K19" s="404">
        <f t="shared" si="2"/>
        <v>0.652</v>
      </c>
      <c r="L19" s="404">
        <f t="shared" si="3"/>
        <v>1.478</v>
      </c>
      <c r="M19" s="408"/>
      <c r="N19" s="404">
        <f t="shared" si="4"/>
        <v>1.478</v>
      </c>
      <c r="O19" s="409"/>
    </row>
    <row r="20" spans="1:15" ht="12" customHeight="1" hidden="1">
      <c r="A20" s="401" t="s">
        <v>410</v>
      </c>
      <c r="B20" s="402" t="s">
        <v>411</v>
      </c>
      <c r="C20" s="405">
        <v>32.421</v>
      </c>
      <c r="D20" s="403"/>
      <c r="E20" s="404">
        <f t="shared" si="0"/>
        <v>32.421</v>
      </c>
      <c r="F20" s="405">
        <v>11.023</v>
      </c>
      <c r="G20" s="406">
        <v>0.649</v>
      </c>
      <c r="H20" s="406">
        <v>11.718</v>
      </c>
      <c r="I20" s="407"/>
      <c r="J20" s="404">
        <f t="shared" si="1"/>
        <v>11.718</v>
      </c>
      <c r="K20" s="404">
        <f t="shared" si="2"/>
        <v>23.39</v>
      </c>
      <c r="L20" s="404">
        <f t="shared" si="3"/>
        <v>55.811</v>
      </c>
      <c r="M20" s="408"/>
      <c r="N20" s="404">
        <f t="shared" si="4"/>
        <v>55.811</v>
      </c>
      <c r="O20" s="409"/>
    </row>
    <row r="21" spans="1:15" ht="12" customHeight="1" hidden="1">
      <c r="A21" s="401" t="s">
        <v>412</v>
      </c>
      <c r="B21" s="402" t="s">
        <v>413</v>
      </c>
      <c r="C21" s="405">
        <v>5.723</v>
      </c>
      <c r="D21" s="403"/>
      <c r="E21" s="404">
        <f t="shared" si="0"/>
        <v>5.723</v>
      </c>
      <c r="F21" s="405">
        <v>1.946</v>
      </c>
      <c r="G21" s="406">
        <v>0.117</v>
      </c>
      <c r="H21" s="406">
        <v>2.069</v>
      </c>
      <c r="I21" s="407"/>
      <c r="J21" s="404">
        <f t="shared" si="1"/>
        <v>2.069</v>
      </c>
      <c r="K21" s="404">
        <f t="shared" si="2"/>
        <v>4.132</v>
      </c>
      <c r="L21" s="404">
        <f t="shared" si="3"/>
        <v>9.855</v>
      </c>
      <c r="M21" s="408"/>
      <c r="N21" s="404">
        <f t="shared" si="4"/>
        <v>9.855</v>
      </c>
      <c r="O21" s="409"/>
    </row>
    <row r="22" spans="1:15" ht="12" customHeight="1" hidden="1">
      <c r="A22" s="401" t="s">
        <v>414</v>
      </c>
      <c r="B22" s="402" t="s">
        <v>415</v>
      </c>
      <c r="C22" s="405">
        <v>13.136</v>
      </c>
      <c r="D22" s="403"/>
      <c r="E22" s="404">
        <f t="shared" si="0"/>
        <v>13.136</v>
      </c>
      <c r="F22" s="405">
        <v>4.467</v>
      </c>
      <c r="G22" s="406">
        <v>0.262</v>
      </c>
      <c r="H22" s="406">
        <v>51.381</v>
      </c>
      <c r="I22" s="407"/>
      <c r="J22" s="404">
        <f t="shared" si="1"/>
        <v>51.381</v>
      </c>
      <c r="K22" s="404">
        <f t="shared" si="2"/>
        <v>56.11</v>
      </c>
      <c r="L22" s="404">
        <f t="shared" si="3"/>
        <v>69.246</v>
      </c>
      <c r="M22" s="408"/>
      <c r="N22" s="404">
        <f t="shared" si="4"/>
        <v>69.246</v>
      </c>
      <c r="O22" s="409"/>
    </row>
    <row r="23" spans="1:15" ht="12" customHeight="1" hidden="1">
      <c r="A23" s="401" t="s">
        <v>416</v>
      </c>
      <c r="B23" s="402" t="s">
        <v>417</v>
      </c>
      <c r="C23" s="405">
        <v>2.321</v>
      </c>
      <c r="D23" s="403"/>
      <c r="E23" s="404">
        <f t="shared" si="0"/>
        <v>2.321</v>
      </c>
      <c r="F23" s="405">
        <v>0.79</v>
      </c>
      <c r="G23" s="406">
        <v>0.049</v>
      </c>
      <c r="H23" s="406">
        <v>9.068</v>
      </c>
      <c r="I23" s="407"/>
      <c r="J23" s="404">
        <f t="shared" si="1"/>
        <v>9.068</v>
      </c>
      <c r="K23" s="404">
        <f t="shared" si="2"/>
        <v>9.907</v>
      </c>
      <c r="L23" s="404">
        <f t="shared" si="3"/>
        <v>12.228</v>
      </c>
      <c r="M23" s="408"/>
      <c r="N23" s="404">
        <f t="shared" si="4"/>
        <v>12.228</v>
      </c>
      <c r="O23" s="409"/>
    </row>
    <row r="24" spans="1:15" ht="12" customHeight="1" hidden="1">
      <c r="A24" s="401" t="s">
        <v>418</v>
      </c>
      <c r="B24" s="402" t="s">
        <v>419</v>
      </c>
      <c r="C24" s="405"/>
      <c r="D24" s="403">
        <v>26.35</v>
      </c>
      <c r="E24" s="404">
        <f t="shared" si="0"/>
        <v>26.35</v>
      </c>
      <c r="F24" s="405"/>
      <c r="G24" s="406"/>
      <c r="H24" s="406">
        <v>85</v>
      </c>
      <c r="I24" s="407"/>
      <c r="J24" s="404">
        <f t="shared" si="1"/>
        <v>85</v>
      </c>
      <c r="K24" s="404">
        <f t="shared" si="2"/>
        <v>85</v>
      </c>
      <c r="L24" s="404">
        <f t="shared" si="3"/>
        <v>111.35</v>
      </c>
      <c r="M24" s="408"/>
      <c r="N24" s="404">
        <f t="shared" si="4"/>
        <v>111.35</v>
      </c>
      <c r="O24" s="409"/>
    </row>
    <row r="25" spans="1:15" ht="12" customHeight="1" hidden="1" thickBot="1">
      <c r="A25" s="480" t="s">
        <v>420</v>
      </c>
      <c r="B25" s="481" t="s">
        <v>421</v>
      </c>
      <c r="C25" s="482"/>
      <c r="D25" s="483">
        <v>4.65</v>
      </c>
      <c r="E25" s="484">
        <f t="shared" si="0"/>
        <v>4.65</v>
      </c>
      <c r="F25" s="482"/>
      <c r="G25" s="485"/>
      <c r="H25" s="485">
        <v>15</v>
      </c>
      <c r="I25" s="486"/>
      <c r="J25" s="484">
        <f t="shared" si="1"/>
        <v>15</v>
      </c>
      <c r="K25" s="484">
        <f t="shared" si="2"/>
        <v>15</v>
      </c>
      <c r="L25" s="484">
        <f t="shared" si="3"/>
        <v>19.65</v>
      </c>
      <c r="M25" s="487"/>
      <c r="N25" s="484">
        <f t="shared" si="4"/>
        <v>19.65</v>
      </c>
      <c r="O25" s="488"/>
    </row>
    <row r="26" spans="1:15" ht="12" customHeight="1" hidden="1" thickBot="1">
      <c r="A26" s="489"/>
      <c r="B26" s="490" t="s">
        <v>444</v>
      </c>
      <c r="C26" s="491">
        <f>SUM(C10:C25)</f>
        <v>4558.482</v>
      </c>
      <c r="D26" s="492">
        <f aca="true" t="shared" si="6" ref="D26:O26">SUM(D10:D25)</f>
        <v>3945.4530000000004</v>
      </c>
      <c r="E26" s="493">
        <f t="shared" si="6"/>
        <v>8503.934999999998</v>
      </c>
      <c r="F26" s="491">
        <f t="shared" si="6"/>
        <v>2210.7020000000007</v>
      </c>
      <c r="G26" s="494">
        <f t="shared" si="6"/>
        <v>92.65800000000002</v>
      </c>
      <c r="H26" s="494">
        <f t="shared" si="6"/>
        <v>6647.7350000000015</v>
      </c>
      <c r="I26" s="495">
        <f t="shared" si="6"/>
        <v>0</v>
      </c>
      <c r="J26" s="493">
        <f t="shared" si="6"/>
        <v>6647.7350000000015</v>
      </c>
      <c r="K26" s="493">
        <f t="shared" si="6"/>
        <v>8951.095</v>
      </c>
      <c r="L26" s="493">
        <f t="shared" si="6"/>
        <v>17455.03</v>
      </c>
      <c r="M26" s="496">
        <f t="shared" si="6"/>
        <v>0</v>
      </c>
      <c r="N26" s="493">
        <f t="shared" si="6"/>
        <v>17455.03</v>
      </c>
      <c r="O26" s="497">
        <f t="shared" si="6"/>
        <v>0</v>
      </c>
    </row>
    <row r="27" spans="1:15" ht="14.25" customHeight="1" thickBot="1">
      <c r="A27" s="410"/>
      <c r="B27" s="411" t="s">
        <v>205</v>
      </c>
      <c r="C27" s="412">
        <f>SUM(C9+C26)</f>
        <v>6770.482</v>
      </c>
      <c r="D27" s="413">
        <f>SUM(D9+D26)</f>
        <v>5762.453</v>
      </c>
      <c r="E27" s="414">
        <f>SUM(E9+E26)</f>
        <v>12532.934999999998</v>
      </c>
      <c r="F27" s="413">
        <f>SUM(F9+F26)</f>
        <v>3267.2020000000007</v>
      </c>
      <c r="G27" s="413">
        <f aca="true" t="shared" si="7" ref="G27:O27">SUM(G9+G26)</f>
        <v>137.15800000000002</v>
      </c>
      <c r="H27" s="413">
        <f t="shared" si="7"/>
        <v>9648.985</v>
      </c>
      <c r="I27" s="415">
        <f t="shared" si="7"/>
        <v>0</v>
      </c>
      <c r="J27" s="414">
        <f t="shared" si="7"/>
        <v>9648.985</v>
      </c>
      <c r="K27" s="414">
        <f t="shared" si="7"/>
        <v>13053.345</v>
      </c>
      <c r="L27" s="414">
        <f t="shared" si="7"/>
        <v>25586.28</v>
      </c>
      <c r="M27" s="498">
        <f t="shared" si="7"/>
        <v>0</v>
      </c>
      <c r="N27" s="414">
        <f t="shared" si="7"/>
        <v>25586.28</v>
      </c>
      <c r="O27" s="416">
        <f t="shared" si="7"/>
        <v>9</v>
      </c>
    </row>
    <row r="28" spans="1:15" ht="12" customHeight="1" hidden="1">
      <c r="A28" s="392" t="s">
        <v>422</v>
      </c>
      <c r="B28" s="393" t="s">
        <v>423</v>
      </c>
      <c r="C28" s="449">
        <v>6607.9</v>
      </c>
      <c r="D28" s="417">
        <v>2399.55</v>
      </c>
      <c r="E28" s="418">
        <f t="shared" si="0"/>
        <v>9007.45</v>
      </c>
      <c r="F28" s="419">
        <v>2683.45</v>
      </c>
      <c r="G28" s="420">
        <v>132.175</v>
      </c>
      <c r="H28" s="420">
        <v>1773.525</v>
      </c>
      <c r="I28" s="421">
        <v>341.7</v>
      </c>
      <c r="J28" s="418">
        <f t="shared" si="1"/>
        <v>2115.225</v>
      </c>
      <c r="K28" s="418">
        <f t="shared" si="2"/>
        <v>4930.85</v>
      </c>
      <c r="L28" s="418">
        <f t="shared" si="3"/>
        <v>13938.300000000001</v>
      </c>
      <c r="M28" s="422"/>
      <c r="N28" s="418">
        <f t="shared" si="4"/>
        <v>13938.300000000001</v>
      </c>
      <c r="O28" s="423">
        <v>34</v>
      </c>
    </row>
    <row r="29" spans="1:15" ht="12" customHeight="1" hidden="1" thickBot="1">
      <c r="A29" s="451" t="s">
        <v>424</v>
      </c>
      <c r="B29" s="452" t="s">
        <v>425</v>
      </c>
      <c r="C29" s="499">
        <v>1166.1</v>
      </c>
      <c r="D29" s="500">
        <v>423.45</v>
      </c>
      <c r="E29" s="501">
        <f t="shared" si="0"/>
        <v>1589.55</v>
      </c>
      <c r="F29" s="502">
        <v>473.55</v>
      </c>
      <c r="G29" s="503">
        <v>23.325</v>
      </c>
      <c r="H29" s="503">
        <v>312.975</v>
      </c>
      <c r="I29" s="504">
        <v>60.3</v>
      </c>
      <c r="J29" s="501">
        <f t="shared" si="1"/>
        <v>373.27500000000003</v>
      </c>
      <c r="K29" s="501">
        <f t="shared" si="2"/>
        <v>870.1500000000001</v>
      </c>
      <c r="L29" s="501">
        <f t="shared" si="3"/>
        <v>2459.7</v>
      </c>
      <c r="M29" s="505"/>
      <c r="N29" s="501">
        <f t="shared" si="4"/>
        <v>2459.7</v>
      </c>
      <c r="O29" s="506">
        <v>7</v>
      </c>
    </row>
    <row r="30" spans="1:15" ht="12" customHeight="1" hidden="1" thickBot="1">
      <c r="A30" s="461"/>
      <c r="B30" s="462" t="s">
        <v>443</v>
      </c>
      <c r="C30" s="507">
        <f>SUM(C28:C29)</f>
        <v>7774</v>
      </c>
      <c r="D30" s="508">
        <f aca="true" t="shared" si="8" ref="D30:O30">SUM(D28:D29)</f>
        <v>2823</v>
      </c>
      <c r="E30" s="509">
        <f t="shared" si="8"/>
        <v>10597</v>
      </c>
      <c r="F30" s="510">
        <f t="shared" si="8"/>
        <v>3157</v>
      </c>
      <c r="G30" s="511">
        <f t="shared" si="8"/>
        <v>155.5</v>
      </c>
      <c r="H30" s="511">
        <f t="shared" si="8"/>
        <v>2086.5</v>
      </c>
      <c r="I30" s="512">
        <f t="shared" si="8"/>
        <v>402</v>
      </c>
      <c r="J30" s="509">
        <f t="shared" si="8"/>
        <v>2488.5</v>
      </c>
      <c r="K30" s="509">
        <f t="shared" si="8"/>
        <v>5801</v>
      </c>
      <c r="L30" s="509">
        <f t="shared" si="8"/>
        <v>16398</v>
      </c>
      <c r="M30" s="513">
        <f t="shared" si="8"/>
        <v>0</v>
      </c>
      <c r="N30" s="509">
        <f t="shared" si="8"/>
        <v>16398</v>
      </c>
      <c r="O30" s="514">
        <f t="shared" si="8"/>
        <v>41</v>
      </c>
    </row>
    <row r="31" spans="1:15" ht="12" customHeight="1" hidden="1">
      <c r="A31" s="471" t="s">
        <v>422</v>
      </c>
      <c r="B31" s="472" t="s">
        <v>423</v>
      </c>
      <c r="C31" s="515">
        <v>10919.844</v>
      </c>
      <c r="D31" s="516">
        <v>3810.963</v>
      </c>
      <c r="E31" s="517">
        <f t="shared" si="0"/>
        <v>14730.806999999999</v>
      </c>
      <c r="F31" s="515">
        <v>4458.972</v>
      </c>
      <c r="G31" s="518">
        <v>218.974</v>
      </c>
      <c r="H31" s="518">
        <v>13512.496</v>
      </c>
      <c r="I31" s="519"/>
      <c r="J31" s="517">
        <f t="shared" si="1"/>
        <v>13512.496</v>
      </c>
      <c r="K31" s="517">
        <f t="shared" si="2"/>
        <v>18190.442</v>
      </c>
      <c r="L31" s="517">
        <f t="shared" si="3"/>
        <v>32921.248999999996</v>
      </c>
      <c r="M31" s="520"/>
      <c r="N31" s="517">
        <f t="shared" si="4"/>
        <v>32921.248999999996</v>
      </c>
      <c r="O31" s="521"/>
    </row>
    <row r="32" spans="1:15" ht="12" customHeight="1" hidden="1">
      <c r="A32" s="401" t="s">
        <v>424</v>
      </c>
      <c r="B32" s="402" t="s">
        <v>425</v>
      </c>
      <c r="C32" s="426">
        <v>1927.679</v>
      </c>
      <c r="D32" s="424">
        <v>673.053</v>
      </c>
      <c r="E32" s="425">
        <f t="shared" si="0"/>
        <v>2600.732</v>
      </c>
      <c r="F32" s="426">
        <v>787.172</v>
      </c>
      <c r="G32" s="427">
        <v>39.29</v>
      </c>
      <c r="H32" s="427">
        <v>2385.088</v>
      </c>
      <c r="I32" s="428"/>
      <c r="J32" s="425">
        <f t="shared" si="1"/>
        <v>2385.088</v>
      </c>
      <c r="K32" s="425">
        <f t="shared" si="2"/>
        <v>3211.55</v>
      </c>
      <c r="L32" s="425">
        <f t="shared" si="3"/>
        <v>5812.282</v>
      </c>
      <c r="M32" s="429"/>
      <c r="N32" s="425">
        <f t="shared" si="4"/>
        <v>5812.282</v>
      </c>
      <c r="O32" s="430"/>
    </row>
    <row r="33" spans="1:17" ht="12" customHeight="1" hidden="1">
      <c r="A33" s="401" t="s">
        <v>426</v>
      </c>
      <c r="B33" s="402" t="s">
        <v>427</v>
      </c>
      <c r="C33" s="426">
        <v>743.325</v>
      </c>
      <c r="D33" s="424">
        <v>743.325</v>
      </c>
      <c r="E33" s="425">
        <f t="shared" si="0"/>
        <v>1486.65</v>
      </c>
      <c r="F33" s="426"/>
      <c r="G33" s="427"/>
      <c r="H33" s="427"/>
      <c r="I33" s="428"/>
      <c r="J33" s="425">
        <f t="shared" si="1"/>
        <v>0</v>
      </c>
      <c r="K33" s="425">
        <f t="shared" si="2"/>
        <v>0</v>
      </c>
      <c r="L33" s="425">
        <f t="shared" si="3"/>
        <v>1486.65</v>
      </c>
      <c r="M33" s="429"/>
      <c r="N33" s="425">
        <f t="shared" si="4"/>
        <v>1486.65</v>
      </c>
      <c r="O33" s="430"/>
      <c r="Q33" s="567"/>
    </row>
    <row r="34" spans="1:15" ht="12" customHeight="1" hidden="1" thickBot="1">
      <c r="A34" s="480" t="s">
        <v>428</v>
      </c>
      <c r="B34" s="481" t="s">
        <v>429</v>
      </c>
      <c r="C34" s="522">
        <v>131.175</v>
      </c>
      <c r="D34" s="523">
        <v>131.175</v>
      </c>
      <c r="E34" s="524">
        <f t="shared" si="0"/>
        <v>262.35</v>
      </c>
      <c r="F34" s="522"/>
      <c r="G34" s="525"/>
      <c r="H34" s="525"/>
      <c r="I34" s="526"/>
      <c r="J34" s="524">
        <f t="shared" si="1"/>
        <v>0</v>
      </c>
      <c r="K34" s="524">
        <f t="shared" si="2"/>
        <v>0</v>
      </c>
      <c r="L34" s="524">
        <f t="shared" si="3"/>
        <v>262.35</v>
      </c>
      <c r="M34" s="527"/>
      <c r="N34" s="524">
        <f t="shared" si="4"/>
        <v>262.35</v>
      </c>
      <c r="O34" s="528"/>
    </row>
    <row r="35" spans="1:15" ht="12" customHeight="1" hidden="1" thickBot="1">
      <c r="A35" s="489"/>
      <c r="B35" s="490" t="s">
        <v>444</v>
      </c>
      <c r="C35" s="529">
        <f>SUM(C31:C34)</f>
        <v>13722.023</v>
      </c>
      <c r="D35" s="530">
        <f aca="true" t="shared" si="9" ref="D35:O35">SUM(D31:D34)</f>
        <v>5358.5160000000005</v>
      </c>
      <c r="E35" s="531">
        <f t="shared" si="9"/>
        <v>19080.538999999997</v>
      </c>
      <c r="F35" s="529">
        <f t="shared" si="9"/>
        <v>5246.144</v>
      </c>
      <c r="G35" s="532">
        <f t="shared" si="9"/>
        <v>258.264</v>
      </c>
      <c r="H35" s="532">
        <f t="shared" si="9"/>
        <v>15897.583999999999</v>
      </c>
      <c r="I35" s="533">
        <f t="shared" si="9"/>
        <v>0</v>
      </c>
      <c r="J35" s="531">
        <f t="shared" si="9"/>
        <v>15897.583999999999</v>
      </c>
      <c r="K35" s="531">
        <f t="shared" si="9"/>
        <v>21401.992</v>
      </c>
      <c r="L35" s="531">
        <f t="shared" si="9"/>
        <v>40482.530999999995</v>
      </c>
      <c r="M35" s="534">
        <f t="shared" si="9"/>
        <v>0</v>
      </c>
      <c r="N35" s="531">
        <f t="shared" si="9"/>
        <v>40482.530999999995</v>
      </c>
      <c r="O35" s="535">
        <f t="shared" si="9"/>
        <v>0</v>
      </c>
    </row>
    <row r="36" spans="1:16" s="142" customFormat="1" ht="14.25" customHeight="1" thickBot="1">
      <c r="A36" s="431"/>
      <c r="B36" s="432" t="s">
        <v>206</v>
      </c>
      <c r="C36" s="450">
        <f>SUM(C35,C30)</f>
        <v>21496.023</v>
      </c>
      <c r="D36" s="433">
        <f aca="true" t="shared" si="10" ref="D36:O36">SUM(D35,D30)</f>
        <v>8181.5160000000005</v>
      </c>
      <c r="E36" s="434">
        <f t="shared" si="10"/>
        <v>29677.538999999997</v>
      </c>
      <c r="F36" s="435">
        <f t="shared" si="10"/>
        <v>8403.144</v>
      </c>
      <c r="G36" s="436">
        <f t="shared" si="10"/>
        <v>413.764</v>
      </c>
      <c r="H36" s="436">
        <f t="shared" si="10"/>
        <v>17984.084</v>
      </c>
      <c r="I36" s="437">
        <f t="shared" si="10"/>
        <v>402</v>
      </c>
      <c r="J36" s="434">
        <f t="shared" si="10"/>
        <v>18386.084</v>
      </c>
      <c r="K36" s="434">
        <f t="shared" si="10"/>
        <v>27202.992</v>
      </c>
      <c r="L36" s="434">
        <f t="shared" si="10"/>
        <v>56880.530999999995</v>
      </c>
      <c r="M36" s="438">
        <f t="shared" si="10"/>
        <v>0</v>
      </c>
      <c r="N36" s="434">
        <f t="shared" si="10"/>
        <v>56880.530999999995</v>
      </c>
      <c r="O36" s="439">
        <f t="shared" si="10"/>
        <v>41</v>
      </c>
      <c r="P36"/>
    </row>
    <row r="37" spans="1:15" ht="12" customHeight="1" hidden="1">
      <c r="A37" s="392" t="s">
        <v>430</v>
      </c>
      <c r="B37" s="393" t="s">
        <v>431</v>
      </c>
      <c r="C37" s="449"/>
      <c r="D37" s="417"/>
      <c r="E37" s="418">
        <f>SUM(C37:D37)</f>
        <v>0</v>
      </c>
      <c r="F37" s="419"/>
      <c r="G37" s="420"/>
      <c r="H37" s="420">
        <v>14518.16</v>
      </c>
      <c r="I37" s="440"/>
      <c r="J37" s="418">
        <f>SUM(H37:I37)</f>
        <v>14518.16</v>
      </c>
      <c r="K37" s="418">
        <f>SUM(F37,G37,J37)</f>
        <v>14518.16</v>
      </c>
      <c r="L37" s="418">
        <f>SUM(E37,K37)</f>
        <v>14518.16</v>
      </c>
      <c r="M37" s="422"/>
      <c r="N37" s="418">
        <f>SUM(L37,M37)</f>
        <v>14518.16</v>
      </c>
      <c r="O37" s="423"/>
    </row>
    <row r="38" spans="1:15" ht="12" customHeight="1" hidden="1" thickBot="1">
      <c r="A38" s="392" t="s">
        <v>432</v>
      </c>
      <c r="B38" s="393" t="s">
        <v>433</v>
      </c>
      <c r="C38" s="449"/>
      <c r="D38" s="417"/>
      <c r="E38" s="418">
        <f>SUM(C38:D38)</f>
        <v>0</v>
      </c>
      <c r="F38" s="419"/>
      <c r="G38" s="420"/>
      <c r="H38" s="420">
        <v>2562.02</v>
      </c>
      <c r="I38" s="440"/>
      <c r="J38" s="418">
        <f>SUM(H38:I38)</f>
        <v>2562.02</v>
      </c>
      <c r="K38" s="418">
        <f>SUM(F38,G38,J38)</f>
        <v>2562.02</v>
      </c>
      <c r="L38" s="418">
        <f>SUM(E38,K38)</f>
        <v>2562.02</v>
      </c>
      <c r="M38" s="422"/>
      <c r="N38" s="418">
        <f>SUM(L38,M38)</f>
        <v>2562.02</v>
      </c>
      <c r="O38" s="423"/>
    </row>
    <row r="39" spans="1:15" ht="12" customHeight="1" hidden="1" thickBot="1">
      <c r="A39" s="461"/>
      <c r="B39" s="462" t="s">
        <v>443</v>
      </c>
      <c r="C39" s="507">
        <f>SUM(C37:C38)</f>
        <v>0</v>
      </c>
      <c r="D39" s="508">
        <f aca="true" t="shared" si="11" ref="D39:O39">SUM(D37:D38)</f>
        <v>0</v>
      </c>
      <c r="E39" s="509">
        <f t="shared" si="11"/>
        <v>0</v>
      </c>
      <c r="F39" s="510">
        <f t="shared" si="11"/>
        <v>0</v>
      </c>
      <c r="G39" s="511">
        <f t="shared" si="11"/>
        <v>0</v>
      </c>
      <c r="H39" s="511">
        <f t="shared" si="11"/>
        <v>17080.18</v>
      </c>
      <c r="I39" s="512">
        <f t="shared" si="11"/>
        <v>0</v>
      </c>
      <c r="J39" s="509">
        <f t="shared" si="11"/>
        <v>17080.18</v>
      </c>
      <c r="K39" s="509">
        <f t="shared" si="11"/>
        <v>17080.18</v>
      </c>
      <c r="L39" s="509">
        <f t="shared" si="11"/>
        <v>17080.18</v>
      </c>
      <c r="M39" s="513">
        <f t="shared" si="11"/>
        <v>0</v>
      </c>
      <c r="N39" s="509">
        <f t="shared" si="11"/>
        <v>17080.18</v>
      </c>
      <c r="O39" s="514">
        <f t="shared" si="11"/>
        <v>0</v>
      </c>
    </row>
    <row r="40" spans="1:15" ht="12" customHeight="1" hidden="1">
      <c r="A40" s="401" t="s">
        <v>434</v>
      </c>
      <c r="B40" s="402" t="s">
        <v>435</v>
      </c>
      <c r="C40" s="426"/>
      <c r="D40" s="424"/>
      <c r="E40" s="425">
        <f>SUM(C40:D40)</f>
        <v>0</v>
      </c>
      <c r="F40" s="426"/>
      <c r="G40" s="427"/>
      <c r="H40" s="427">
        <v>17.196</v>
      </c>
      <c r="I40" s="428"/>
      <c r="J40" s="425">
        <f>SUM(H40:I40)</f>
        <v>17.196</v>
      </c>
      <c r="K40" s="425">
        <f>SUM(F40,G40,J40)</f>
        <v>17.196</v>
      </c>
      <c r="L40" s="425">
        <f>SUM(E40,K40)</f>
        <v>17.196</v>
      </c>
      <c r="M40" s="429"/>
      <c r="N40" s="425">
        <f>SUM(L40,M40)</f>
        <v>17.196</v>
      </c>
      <c r="O40" s="430"/>
    </row>
    <row r="41" spans="1:15" ht="12" customHeight="1" hidden="1" thickBot="1">
      <c r="A41" s="480" t="s">
        <v>436</v>
      </c>
      <c r="B41" s="481" t="s">
        <v>437</v>
      </c>
      <c r="C41" s="522"/>
      <c r="D41" s="523"/>
      <c r="E41" s="524">
        <f>SUM(C41:D41)</f>
        <v>0</v>
      </c>
      <c r="F41" s="522"/>
      <c r="G41" s="525"/>
      <c r="H41" s="525">
        <v>3.035</v>
      </c>
      <c r="I41" s="526"/>
      <c r="J41" s="524">
        <f>SUM(H41:I41)</f>
        <v>3.035</v>
      </c>
      <c r="K41" s="524">
        <f>SUM(F41,G41,J41)</f>
        <v>3.035</v>
      </c>
      <c r="L41" s="524">
        <f>SUM(E41,K41)</f>
        <v>3.035</v>
      </c>
      <c r="M41" s="527"/>
      <c r="N41" s="524">
        <f>SUM(L41,M41)</f>
        <v>3.035</v>
      </c>
      <c r="O41" s="528"/>
    </row>
    <row r="42" spans="1:15" ht="12" customHeight="1" hidden="1" thickBot="1">
      <c r="A42" s="489"/>
      <c r="B42" s="490" t="s">
        <v>444</v>
      </c>
      <c r="C42" s="529">
        <f aca="true" t="shared" si="12" ref="C42:O42">SUM(C40:C41)</f>
        <v>0</v>
      </c>
      <c r="D42" s="530">
        <f t="shared" si="12"/>
        <v>0</v>
      </c>
      <c r="E42" s="531">
        <f t="shared" si="12"/>
        <v>0</v>
      </c>
      <c r="F42" s="529">
        <f t="shared" si="12"/>
        <v>0</v>
      </c>
      <c r="G42" s="532">
        <f t="shared" si="12"/>
        <v>0</v>
      </c>
      <c r="H42" s="532">
        <f t="shared" si="12"/>
        <v>20.231</v>
      </c>
      <c r="I42" s="533">
        <f t="shared" si="12"/>
        <v>0</v>
      </c>
      <c r="J42" s="531">
        <f t="shared" si="12"/>
        <v>20.231</v>
      </c>
      <c r="K42" s="531">
        <f t="shared" si="12"/>
        <v>20.231</v>
      </c>
      <c r="L42" s="531">
        <f t="shared" si="12"/>
        <v>20.231</v>
      </c>
      <c r="M42" s="534">
        <f t="shared" si="12"/>
        <v>0</v>
      </c>
      <c r="N42" s="531">
        <f t="shared" si="12"/>
        <v>20.231</v>
      </c>
      <c r="O42" s="535">
        <f t="shared" si="12"/>
        <v>0</v>
      </c>
    </row>
    <row r="43" spans="1:15" ht="14.25" customHeight="1" thickBot="1">
      <c r="A43" s="431"/>
      <c r="B43" s="432" t="s">
        <v>438</v>
      </c>
      <c r="C43" s="450">
        <f>SUM(C42,C39)</f>
        <v>0</v>
      </c>
      <c r="D43" s="433">
        <f aca="true" t="shared" si="13" ref="D43:O43">SUM(D42,D39)</f>
        <v>0</v>
      </c>
      <c r="E43" s="434">
        <f t="shared" si="13"/>
        <v>0</v>
      </c>
      <c r="F43" s="435">
        <f t="shared" si="13"/>
        <v>0</v>
      </c>
      <c r="G43" s="436">
        <f t="shared" si="13"/>
        <v>0</v>
      </c>
      <c r="H43" s="436">
        <f t="shared" si="13"/>
        <v>17100.411</v>
      </c>
      <c r="I43" s="441">
        <f t="shared" si="13"/>
        <v>0</v>
      </c>
      <c r="J43" s="434">
        <f t="shared" si="13"/>
        <v>17100.411</v>
      </c>
      <c r="K43" s="434">
        <f t="shared" si="13"/>
        <v>17100.411</v>
      </c>
      <c r="L43" s="434">
        <f t="shared" si="13"/>
        <v>17100.411</v>
      </c>
      <c r="M43" s="438">
        <f t="shared" si="13"/>
        <v>0</v>
      </c>
      <c r="N43" s="434">
        <f t="shared" si="13"/>
        <v>17100.411</v>
      </c>
      <c r="O43" s="439">
        <f t="shared" si="13"/>
        <v>0</v>
      </c>
    </row>
    <row r="44" spans="1:15" ht="12" customHeight="1" hidden="1">
      <c r="A44" s="392" t="s">
        <v>439</v>
      </c>
      <c r="B44" s="393" t="s">
        <v>440</v>
      </c>
      <c r="C44" s="449">
        <v>4466.75</v>
      </c>
      <c r="D44" s="417">
        <v>8027.4</v>
      </c>
      <c r="E44" s="418">
        <f>SUM(C44:D44)</f>
        <v>12494.15</v>
      </c>
      <c r="F44" s="419">
        <v>1806.25</v>
      </c>
      <c r="G44" s="420">
        <v>89.25</v>
      </c>
      <c r="H44" s="420">
        <v>3492.3</v>
      </c>
      <c r="I44" s="440"/>
      <c r="J44" s="418">
        <f>SUM(H44:I44)</f>
        <v>3492.3</v>
      </c>
      <c r="K44" s="418">
        <f>SUM(F44,G44,J44)</f>
        <v>5387.8</v>
      </c>
      <c r="L44" s="418">
        <f>SUM(E44,K44)</f>
        <v>17881.95</v>
      </c>
      <c r="M44" s="422"/>
      <c r="N44" s="418">
        <f>SUM(L44,M44)</f>
        <v>17881.95</v>
      </c>
      <c r="O44" s="423">
        <v>49.3</v>
      </c>
    </row>
    <row r="45" spans="1:15" ht="12" customHeight="1" hidden="1" thickBot="1">
      <c r="A45" s="392" t="s">
        <v>441</v>
      </c>
      <c r="B45" s="393" t="s">
        <v>442</v>
      </c>
      <c r="C45" s="449">
        <v>788.25</v>
      </c>
      <c r="D45" s="417">
        <v>1416.6</v>
      </c>
      <c r="E45" s="418">
        <f>SUM(C45:D45)</f>
        <v>2204.85</v>
      </c>
      <c r="F45" s="419">
        <v>318.75</v>
      </c>
      <c r="G45" s="420">
        <v>15.75</v>
      </c>
      <c r="H45" s="420">
        <v>1658.7</v>
      </c>
      <c r="I45" s="440"/>
      <c r="J45" s="418">
        <f>SUM(H45:I45)</f>
        <v>1658.7</v>
      </c>
      <c r="K45" s="418">
        <f>SUM(F45,G45,J45)</f>
        <v>1993.2</v>
      </c>
      <c r="L45" s="418">
        <f>SUM(E45,K45)</f>
        <v>4198.05</v>
      </c>
      <c r="M45" s="422"/>
      <c r="N45" s="418">
        <f>SUM(L45,M45)</f>
        <v>4198.05</v>
      </c>
      <c r="O45" s="423">
        <v>4</v>
      </c>
    </row>
    <row r="46" spans="1:15" ht="12" customHeight="1" hidden="1" thickBot="1">
      <c r="A46" s="461"/>
      <c r="B46" s="462" t="s">
        <v>443</v>
      </c>
      <c r="C46" s="507">
        <f>SUM(C44:C45)</f>
        <v>5255</v>
      </c>
      <c r="D46" s="508">
        <f aca="true" t="shared" si="14" ref="D46:O46">SUM(D44:D45)</f>
        <v>9444</v>
      </c>
      <c r="E46" s="509">
        <f t="shared" si="14"/>
        <v>14699</v>
      </c>
      <c r="F46" s="510">
        <f t="shared" si="14"/>
        <v>2125</v>
      </c>
      <c r="G46" s="511">
        <f t="shared" si="14"/>
        <v>105</v>
      </c>
      <c r="H46" s="511">
        <f t="shared" si="14"/>
        <v>5151</v>
      </c>
      <c r="I46" s="512">
        <f t="shared" si="14"/>
        <v>0</v>
      </c>
      <c r="J46" s="509">
        <f t="shared" si="14"/>
        <v>5151</v>
      </c>
      <c r="K46" s="509">
        <f t="shared" si="14"/>
        <v>7381</v>
      </c>
      <c r="L46" s="509">
        <f t="shared" si="14"/>
        <v>22080</v>
      </c>
      <c r="M46" s="513">
        <f t="shared" si="14"/>
        <v>0</v>
      </c>
      <c r="N46" s="509">
        <f t="shared" si="14"/>
        <v>22080</v>
      </c>
      <c r="O46" s="514">
        <f t="shared" si="14"/>
        <v>53.3</v>
      </c>
    </row>
    <row r="47" spans="1:15" ht="12" customHeight="1" hidden="1">
      <c r="A47" s="401" t="s">
        <v>439</v>
      </c>
      <c r="B47" s="402" t="s">
        <v>440</v>
      </c>
      <c r="C47" s="426">
        <v>26028.637</v>
      </c>
      <c r="D47" s="424">
        <v>17478.387</v>
      </c>
      <c r="E47" s="425">
        <f>SUM(C47:D47)</f>
        <v>43507.024</v>
      </c>
      <c r="F47" s="426">
        <v>9958.142</v>
      </c>
      <c r="G47" s="427">
        <v>521.118</v>
      </c>
      <c r="H47" s="427">
        <v>65182.725</v>
      </c>
      <c r="I47" s="428"/>
      <c r="J47" s="425">
        <f>SUM(H47:I47)</f>
        <v>65182.725</v>
      </c>
      <c r="K47" s="425">
        <f>SUM(F47,G47,J47)</f>
        <v>75661.985</v>
      </c>
      <c r="L47" s="425">
        <f>SUM(E47,K47)</f>
        <v>119169.00899999999</v>
      </c>
      <c r="M47" s="429"/>
      <c r="N47" s="425">
        <f>SUM(L47,M47)</f>
        <v>119169.00899999999</v>
      </c>
      <c r="O47" s="430"/>
    </row>
    <row r="48" spans="1:15" ht="12" customHeight="1" hidden="1" thickBot="1">
      <c r="A48" s="401" t="s">
        <v>441</v>
      </c>
      <c r="B48" s="402" t="s">
        <v>442</v>
      </c>
      <c r="C48" s="426">
        <v>4593.172</v>
      </c>
      <c r="D48" s="424">
        <v>3084.422</v>
      </c>
      <c r="E48" s="425">
        <f>SUM(C48:D48)</f>
        <v>7677.593999999999</v>
      </c>
      <c r="F48" s="426">
        <v>1757.32</v>
      </c>
      <c r="G48" s="427">
        <v>92.433</v>
      </c>
      <c r="H48" s="427">
        <v>11502.834</v>
      </c>
      <c r="I48" s="428"/>
      <c r="J48" s="425">
        <f>SUM(H48:I48)</f>
        <v>11502.834</v>
      </c>
      <c r="K48" s="425">
        <f>SUM(F48,G48,J48)</f>
        <v>13352.587000000001</v>
      </c>
      <c r="L48" s="425">
        <f>SUM(E48,K48)</f>
        <v>21030.181</v>
      </c>
      <c r="M48" s="429"/>
      <c r="N48" s="425">
        <f>SUM(L48,M48)</f>
        <v>21030.181</v>
      </c>
      <c r="O48" s="430"/>
    </row>
    <row r="49" spans="1:15" ht="12" customHeight="1" hidden="1" thickBot="1">
      <c r="A49" s="489"/>
      <c r="B49" s="490" t="s">
        <v>444</v>
      </c>
      <c r="C49" s="529">
        <f aca="true" t="shared" si="15" ref="C49:O49">SUM(C47:C48)</f>
        <v>30621.808999999997</v>
      </c>
      <c r="D49" s="530">
        <f t="shared" si="15"/>
        <v>20562.808999999997</v>
      </c>
      <c r="E49" s="531">
        <f t="shared" si="15"/>
        <v>51184.617999999995</v>
      </c>
      <c r="F49" s="529">
        <f t="shared" si="15"/>
        <v>11715.462</v>
      </c>
      <c r="G49" s="532">
        <f t="shared" si="15"/>
        <v>613.551</v>
      </c>
      <c r="H49" s="532">
        <f t="shared" si="15"/>
        <v>76685.559</v>
      </c>
      <c r="I49" s="533">
        <f t="shared" si="15"/>
        <v>0</v>
      </c>
      <c r="J49" s="531">
        <f t="shared" si="15"/>
        <v>76685.559</v>
      </c>
      <c r="K49" s="531">
        <f t="shared" si="15"/>
        <v>89014.572</v>
      </c>
      <c r="L49" s="531">
        <f t="shared" si="15"/>
        <v>140199.19</v>
      </c>
      <c r="M49" s="534">
        <f t="shared" si="15"/>
        <v>0</v>
      </c>
      <c r="N49" s="531">
        <f t="shared" si="15"/>
        <v>140199.19</v>
      </c>
      <c r="O49" s="535">
        <f t="shared" si="15"/>
        <v>0</v>
      </c>
    </row>
    <row r="50" spans="1:15" ht="14.25" customHeight="1" thickBot="1">
      <c r="A50" s="431"/>
      <c r="B50" s="432" t="s">
        <v>217</v>
      </c>
      <c r="C50" s="450">
        <f>SUM(C49,C46)</f>
        <v>35876.808999999994</v>
      </c>
      <c r="D50" s="433">
        <f aca="true" t="shared" si="16" ref="D50:O50">SUM(D49,D46)</f>
        <v>30006.808999999997</v>
      </c>
      <c r="E50" s="434">
        <f t="shared" si="16"/>
        <v>65883.61799999999</v>
      </c>
      <c r="F50" s="435">
        <f t="shared" si="16"/>
        <v>13840.462</v>
      </c>
      <c r="G50" s="436">
        <f t="shared" si="16"/>
        <v>718.551</v>
      </c>
      <c r="H50" s="436">
        <f t="shared" si="16"/>
        <v>81836.559</v>
      </c>
      <c r="I50" s="441">
        <f t="shared" si="16"/>
        <v>0</v>
      </c>
      <c r="J50" s="434">
        <f t="shared" si="16"/>
        <v>81836.559</v>
      </c>
      <c r="K50" s="434">
        <f t="shared" si="16"/>
        <v>96395.572</v>
      </c>
      <c r="L50" s="434">
        <f t="shared" si="16"/>
        <v>162279.19</v>
      </c>
      <c r="M50" s="438">
        <f t="shared" si="16"/>
        <v>0</v>
      </c>
      <c r="N50" s="434">
        <f t="shared" si="16"/>
        <v>162279.19</v>
      </c>
      <c r="O50" s="439">
        <f t="shared" si="16"/>
        <v>53.3</v>
      </c>
    </row>
    <row r="51" spans="1:15" ht="17.25" customHeight="1" thickBot="1">
      <c r="A51" s="203"/>
      <c r="B51" s="278" t="s">
        <v>178</v>
      </c>
      <c r="C51" s="279">
        <f aca="true" t="shared" si="17" ref="C51:O51">C27+C36+C43+C50</f>
        <v>64143.314</v>
      </c>
      <c r="D51" s="279">
        <f t="shared" si="17"/>
        <v>43950.778</v>
      </c>
      <c r="E51" s="279">
        <f t="shared" si="17"/>
        <v>108094.09199999998</v>
      </c>
      <c r="F51" s="279">
        <f t="shared" si="17"/>
        <v>25510.808</v>
      </c>
      <c r="G51" s="279">
        <f t="shared" si="17"/>
        <v>1269.473</v>
      </c>
      <c r="H51" s="279">
        <f t="shared" si="17"/>
        <v>126570.03899999999</v>
      </c>
      <c r="I51" s="280">
        <f t="shared" si="17"/>
        <v>402</v>
      </c>
      <c r="J51" s="279">
        <f t="shared" si="17"/>
        <v>126972.03899999999</v>
      </c>
      <c r="K51" s="279">
        <f t="shared" si="17"/>
        <v>153752.32</v>
      </c>
      <c r="L51" s="279">
        <f t="shared" si="17"/>
        <v>261846.41199999998</v>
      </c>
      <c r="M51" s="280">
        <f t="shared" si="17"/>
        <v>0</v>
      </c>
      <c r="N51" s="279">
        <f t="shared" si="17"/>
        <v>261846.41199999998</v>
      </c>
      <c r="O51" s="442">
        <f t="shared" si="17"/>
        <v>103.3</v>
      </c>
    </row>
  </sheetData>
  <sheetProtection/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I18"/>
  <sheetViews>
    <sheetView zoomScale="72" zoomScaleNormal="72" zoomScalePageLayoutView="0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8" sqref="A8"/>
      <selection pane="bottomRight" activeCell="D29" sqref="D29"/>
    </sheetView>
  </sheetViews>
  <sheetFormatPr defaultColWidth="9.140625" defaultRowHeight="12.75"/>
  <cols>
    <col min="1" max="1" width="18.140625" style="111" customWidth="1"/>
    <col min="2" max="2" width="12.7109375" style="111" customWidth="1"/>
    <col min="3" max="3" width="11.8515625" style="111" customWidth="1"/>
    <col min="4" max="4" width="12.8515625" style="111" customWidth="1"/>
    <col min="5" max="5" width="10.8515625" style="111" customWidth="1"/>
    <col min="6" max="16384" width="9.140625" style="111" customWidth="1"/>
  </cols>
  <sheetData>
    <row r="2" spans="1:5" ht="15.75">
      <c r="A2" s="112"/>
      <c r="D2" s="143" t="s">
        <v>131</v>
      </c>
      <c r="E2" s="26"/>
    </row>
    <row r="4" ht="15.75">
      <c r="A4" s="114" t="s">
        <v>242</v>
      </c>
    </row>
    <row r="5" ht="15.75">
      <c r="A5" s="114"/>
    </row>
    <row r="6" spans="1:5" ht="16.5" thickBot="1">
      <c r="A6" s="114"/>
      <c r="E6" s="115" t="s">
        <v>1</v>
      </c>
    </row>
    <row r="7" spans="1:5" ht="75.75" customHeight="1" thickBot="1">
      <c r="A7" s="236"/>
      <c r="B7" s="237" t="s">
        <v>132</v>
      </c>
      <c r="C7" s="238" t="s">
        <v>133</v>
      </c>
      <c r="D7" s="238" t="s">
        <v>493</v>
      </c>
      <c r="E7" s="239" t="s">
        <v>122</v>
      </c>
    </row>
    <row r="8" spans="1:5" ht="15.75" thickBot="1">
      <c r="A8" s="240"/>
      <c r="B8" s="241" t="s">
        <v>126</v>
      </c>
      <c r="C8" s="242" t="s">
        <v>127</v>
      </c>
      <c r="D8" s="242" t="s">
        <v>128</v>
      </c>
      <c r="E8" s="243" t="s">
        <v>129</v>
      </c>
    </row>
    <row r="9" spans="1:7" ht="15">
      <c r="A9" s="244" t="s">
        <v>4</v>
      </c>
      <c r="B9" s="281">
        <f>List2!I10+vynosy!B8</f>
        <v>126441</v>
      </c>
      <c r="C9" s="265">
        <f>'HV-HC orig'!D5+'HV-JC orig'!D5</f>
        <v>655717</v>
      </c>
      <c r="D9" s="265">
        <f>C9-B9</f>
        <v>529276</v>
      </c>
      <c r="E9" s="264">
        <f aca="true" t="shared" si="0" ref="E9:E18">(C9/B9)*100</f>
        <v>518.5952341408246</v>
      </c>
      <c r="G9" s="116"/>
    </row>
    <row r="10" spans="1:5" ht="15">
      <c r="A10" s="244" t="s">
        <v>5</v>
      </c>
      <c r="B10" s="281">
        <f>List2!I20+vynosy!B9</f>
        <v>112317.094</v>
      </c>
      <c r="C10" s="265">
        <f>'HV-HC orig'!E5+'HV-JC orig'!E5</f>
        <v>118131</v>
      </c>
      <c r="D10" s="265">
        <f aca="true" t="shared" si="1" ref="D10:D17">C10-B10</f>
        <v>5813.906000000003</v>
      </c>
      <c r="E10" s="264">
        <f t="shared" si="0"/>
        <v>105.17633228651732</v>
      </c>
    </row>
    <row r="11" spans="1:9" ht="15">
      <c r="A11" s="245" t="s">
        <v>6</v>
      </c>
      <c r="B11" s="281">
        <f>List2!I30+vynosy!B10</f>
        <v>12641</v>
      </c>
      <c r="C11" s="265">
        <f>'HV-HC orig'!F5</f>
        <v>12293</v>
      </c>
      <c r="D11" s="265">
        <f t="shared" si="1"/>
        <v>-348</v>
      </c>
      <c r="E11" s="264">
        <f t="shared" si="0"/>
        <v>97.24705323945891</v>
      </c>
      <c r="I11" s="116"/>
    </row>
    <row r="12" spans="1:7" ht="15">
      <c r="A12" s="246" t="s">
        <v>7</v>
      </c>
      <c r="B12" s="281">
        <f>List2!I40+vynosy!B11</f>
        <v>82251.19099999999</v>
      </c>
      <c r="C12" s="265">
        <f>'HV-HC orig'!G5+'HV-JC orig'!F5</f>
        <v>165660</v>
      </c>
      <c r="D12" s="265">
        <f t="shared" si="1"/>
        <v>83408.80900000001</v>
      </c>
      <c r="E12" s="264">
        <f t="shared" si="0"/>
        <v>201.40741791811868</v>
      </c>
      <c r="G12" s="116"/>
    </row>
    <row r="13" spans="1:5" ht="15">
      <c r="A13" s="247" t="s">
        <v>213</v>
      </c>
      <c r="B13" s="281">
        <f>List2!I50+vynosy!B12</f>
        <v>256854</v>
      </c>
      <c r="C13" s="265">
        <f>'HV-HC orig'!H5+'HV-JC orig'!G5</f>
        <v>296251</v>
      </c>
      <c r="D13" s="265">
        <f t="shared" si="1"/>
        <v>39397</v>
      </c>
      <c r="E13" s="264">
        <f t="shared" si="0"/>
        <v>115.33828556300467</v>
      </c>
    </row>
    <row r="14" spans="1:7" ht="15">
      <c r="A14" s="247" t="s">
        <v>8</v>
      </c>
      <c r="B14" s="281">
        <f>List2!I60+vynosy!B13</f>
        <v>12648</v>
      </c>
      <c r="C14" s="265">
        <f>'HV-HC orig'!I5</f>
        <v>14796</v>
      </c>
      <c r="D14" s="265">
        <f t="shared" si="1"/>
        <v>2148</v>
      </c>
      <c r="E14" s="264">
        <f t="shared" si="0"/>
        <v>116.98292220113854</v>
      </c>
      <c r="G14" s="116"/>
    </row>
    <row r="15" spans="1:5" ht="15">
      <c r="A15" s="247" t="s">
        <v>214</v>
      </c>
      <c r="B15" s="281">
        <f>List2!I70+vynosy!B14</f>
        <v>332204.408</v>
      </c>
      <c r="C15" s="265">
        <f>'HV-HC orig'!J5</f>
        <v>343419</v>
      </c>
      <c r="D15" s="265">
        <f t="shared" si="1"/>
        <v>11214.592000000004</v>
      </c>
      <c r="E15" s="264">
        <f>(C15/B15)*100</f>
        <v>103.37581071470912</v>
      </c>
    </row>
    <row r="16" spans="1:5" ht="15">
      <c r="A16" s="247" t="s">
        <v>22</v>
      </c>
      <c r="B16" s="281">
        <f>List2!I80+vynosy!B15</f>
        <v>6288</v>
      </c>
      <c r="C16" s="265">
        <f>'HV-HC orig'!K5</f>
        <v>6544</v>
      </c>
      <c r="D16" s="265">
        <f t="shared" si="1"/>
        <v>256</v>
      </c>
      <c r="E16" s="264">
        <f t="shared" si="0"/>
        <v>104.07124681933841</v>
      </c>
    </row>
    <row r="17" spans="1:7" ht="15.75" thickBot="1">
      <c r="A17" s="248" t="s">
        <v>10</v>
      </c>
      <c r="B17" s="282">
        <f>List2!I90+vynosy!B16</f>
        <v>13274</v>
      </c>
      <c r="C17" s="266">
        <f>'HV-HC orig'!L5</f>
        <v>14455</v>
      </c>
      <c r="D17" s="266">
        <f t="shared" si="1"/>
        <v>1181</v>
      </c>
      <c r="E17" s="267">
        <f t="shared" si="0"/>
        <v>108.89709205966551</v>
      </c>
      <c r="G17" s="116"/>
    </row>
    <row r="18" spans="1:5" ht="16.5" thickBot="1">
      <c r="A18" s="144" t="s">
        <v>17</v>
      </c>
      <c r="B18" s="212">
        <f>SUM(B9:B17)</f>
        <v>954918.693</v>
      </c>
      <c r="C18" s="213">
        <f>SUM(C9:C17)</f>
        <v>1627266</v>
      </c>
      <c r="D18" s="213">
        <f>SUM(D9:D17)</f>
        <v>672347.307</v>
      </c>
      <c r="E18" s="141">
        <f t="shared" si="0"/>
        <v>170.40885385620993</v>
      </c>
    </row>
  </sheetData>
  <sheetProtection/>
  <printOptions horizontalCentered="1"/>
  <pageMargins left="0.984251968503937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25"/>
  <sheetViews>
    <sheetView zoomScale="75" zoomScaleNormal="75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6" sqref="P26"/>
    </sheetView>
  </sheetViews>
  <sheetFormatPr defaultColWidth="9.140625" defaultRowHeight="12.75"/>
  <cols>
    <col min="1" max="1" width="19.8515625" style="111" customWidth="1"/>
    <col min="2" max="2" width="11.140625" style="111" customWidth="1"/>
    <col min="3" max="4" width="11.00390625" style="111" customWidth="1"/>
    <col min="5" max="5" width="9.28125" style="111" customWidth="1"/>
    <col min="6" max="6" width="10.140625" style="111" customWidth="1"/>
    <col min="7" max="7" width="11.00390625" style="111" customWidth="1"/>
    <col min="8" max="8" width="11.28125" style="111" customWidth="1"/>
    <col min="9" max="9" width="9.57421875" style="111" customWidth="1"/>
    <col min="10" max="10" width="9.28125" style="111" customWidth="1"/>
    <col min="11" max="11" width="11.00390625" style="111" customWidth="1"/>
    <col min="12" max="12" width="11.140625" style="111" customWidth="1"/>
    <col min="13" max="13" width="9.140625" style="111" customWidth="1"/>
    <col min="14" max="14" width="10.57421875" style="111" bestFit="1" customWidth="1"/>
    <col min="15" max="15" width="11.140625" style="111" customWidth="1"/>
    <col min="16" max="16" width="11.28125" style="111" customWidth="1"/>
    <col min="17" max="16384" width="9.140625" style="111" customWidth="1"/>
  </cols>
  <sheetData>
    <row r="1" ht="12.75">
      <c r="H1" s="26"/>
    </row>
    <row r="2" spans="1:17" ht="15.75">
      <c r="A2" s="112"/>
      <c r="Q2" s="113" t="s">
        <v>209</v>
      </c>
    </row>
    <row r="4" ht="15.75">
      <c r="A4" s="114" t="s">
        <v>245</v>
      </c>
    </row>
    <row r="5" ht="15.75">
      <c r="A5" s="114"/>
    </row>
    <row r="6" spans="1:17" ht="16.5" thickBot="1">
      <c r="A6" s="114"/>
      <c r="E6" s="115"/>
      <c r="H6" s="115"/>
      <c r="Q6" s="116" t="s">
        <v>1</v>
      </c>
    </row>
    <row r="7" spans="1:17" ht="51.75" thickBot="1">
      <c r="A7" s="117"/>
      <c r="B7" s="118" t="s">
        <v>120</v>
      </c>
      <c r="C7" s="226" t="s">
        <v>121</v>
      </c>
      <c r="D7" s="119" t="s">
        <v>494</v>
      </c>
      <c r="E7" s="120" t="s">
        <v>122</v>
      </c>
      <c r="F7" s="118" t="s">
        <v>123</v>
      </c>
      <c r="G7" s="226" t="s">
        <v>121</v>
      </c>
      <c r="H7" s="119" t="s">
        <v>494</v>
      </c>
      <c r="I7" s="120" t="s">
        <v>122</v>
      </c>
      <c r="J7" s="118" t="s">
        <v>124</v>
      </c>
      <c r="K7" s="226" t="s">
        <v>121</v>
      </c>
      <c r="L7" s="119" t="s">
        <v>494</v>
      </c>
      <c r="M7" s="120" t="s">
        <v>122</v>
      </c>
      <c r="N7" s="118" t="s">
        <v>125</v>
      </c>
      <c r="O7" s="119" t="s">
        <v>121</v>
      </c>
      <c r="P7" s="119" t="s">
        <v>494</v>
      </c>
      <c r="Q7" s="120" t="s">
        <v>122</v>
      </c>
    </row>
    <row r="8" spans="1:17" ht="13.5" thickBot="1">
      <c r="A8" s="121"/>
      <c r="B8" s="122" t="s">
        <v>126</v>
      </c>
      <c r="C8" s="227" t="s">
        <v>127</v>
      </c>
      <c r="D8" s="123" t="s">
        <v>128</v>
      </c>
      <c r="E8" s="124" t="s">
        <v>129</v>
      </c>
      <c r="F8" s="122" t="s">
        <v>126</v>
      </c>
      <c r="G8" s="227" t="s">
        <v>127</v>
      </c>
      <c r="H8" s="123" t="s">
        <v>128</v>
      </c>
      <c r="I8" s="124" t="s">
        <v>129</v>
      </c>
      <c r="J8" s="122" t="s">
        <v>126</v>
      </c>
      <c r="K8" s="227" t="s">
        <v>127</v>
      </c>
      <c r="L8" s="123" t="s">
        <v>128</v>
      </c>
      <c r="M8" s="124" t="s">
        <v>129</v>
      </c>
      <c r="N8" s="122" t="s">
        <v>126</v>
      </c>
      <c r="O8" s="123" t="s">
        <v>127</v>
      </c>
      <c r="P8" s="123" t="s">
        <v>128</v>
      </c>
      <c r="Q8" s="124" t="s">
        <v>129</v>
      </c>
    </row>
    <row r="9" spans="1:17" ht="12.75">
      <c r="A9" s="126" t="s">
        <v>4</v>
      </c>
      <c r="B9" s="127">
        <f>List2!E6+List2!E12</f>
        <v>11182</v>
      </c>
      <c r="C9" s="228">
        <f>'HV-HC orig'!D16+'HV-HC orig'!D17</f>
        <v>14570</v>
      </c>
      <c r="D9" s="128">
        <f>C9-B9</f>
        <v>3388</v>
      </c>
      <c r="E9" s="125">
        <f>(C9/B9)*100</f>
        <v>130.2986943301735</v>
      </c>
      <c r="F9" s="127">
        <f>List2!F6+List2!F12</f>
        <v>610</v>
      </c>
      <c r="G9" s="228">
        <f>'HV-HC orig'!D18</f>
        <v>792</v>
      </c>
      <c r="H9" s="128">
        <f aca="true" t="shared" si="0" ref="H9:H17">G9-F9</f>
        <v>182</v>
      </c>
      <c r="I9" s="125">
        <f>(G9/F9)*100</f>
        <v>129.8360655737705</v>
      </c>
      <c r="J9" s="127">
        <f>List2!H6+List2!H12+3500+36682</f>
        <v>117615</v>
      </c>
      <c r="K9" s="228">
        <f>'HV-HC orig'!D5-'HV-HC orig'!D15-'HV-HC orig'!D16-'HV-HC orig'!D17-'HV-HC orig'!D18</f>
        <v>593473</v>
      </c>
      <c r="L9" s="128">
        <f aca="true" t="shared" si="1" ref="L9:L17">K9-J9</f>
        <v>475858</v>
      </c>
      <c r="M9" s="125">
        <f aca="true" t="shared" si="2" ref="M9:M18">(K9/J9)*100</f>
        <v>504.5895506525528</v>
      </c>
      <c r="N9" s="127">
        <f>B9+F9+J9</f>
        <v>129407</v>
      </c>
      <c r="O9" s="128">
        <f aca="true" t="shared" si="3" ref="O9:O17">C9+G9+K9</f>
        <v>608835</v>
      </c>
      <c r="P9" s="128">
        <f aca="true" t="shared" si="4" ref="P9:P17">O9-N9</f>
        <v>479428</v>
      </c>
      <c r="Q9" s="125">
        <f aca="true" t="shared" si="5" ref="Q9:Q18">(O9/N9)*100</f>
        <v>470.4807313360174</v>
      </c>
    </row>
    <row r="10" spans="1:17" ht="12.75">
      <c r="A10" s="126" t="s">
        <v>5</v>
      </c>
      <c r="B10" s="127">
        <f>List2!E16+List2!E22</f>
        <v>16604.58</v>
      </c>
      <c r="C10" s="228">
        <f>'HV-HC orig'!E16+'HV-HC orig'!E17</f>
        <v>17688</v>
      </c>
      <c r="D10" s="128">
        <f aca="true" t="shared" si="6" ref="D10:D17">C10-B10</f>
        <v>1083.4199999999983</v>
      </c>
      <c r="E10" s="125">
        <f>(C10/B10)*100</f>
        <v>106.52482628286893</v>
      </c>
      <c r="F10" s="127">
        <f>List2!F16+List2!F22</f>
        <v>920.42</v>
      </c>
      <c r="G10" s="228">
        <f>'HV-HC orig'!E18</f>
        <v>986</v>
      </c>
      <c r="H10" s="128">
        <f t="shared" si="0"/>
        <v>65.58000000000004</v>
      </c>
      <c r="I10" s="125">
        <f>(G10/F10)*100</f>
        <v>107.12500814845399</v>
      </c>
      <c r="J10" s="127">
        <f>List2!H16+List2!H22+12400+600</f>
        <v>32566</v>
      </c>
      <c r="K10" s="228">
        <f>'HV-HC orig'!E5-'HV-HC orig'!E15-'HV-HC orig'!E16-'HV-HC orig'!E17-'HV-HC orig'!E18</f>
        <v>41678</v>
      </c>
      <c r="L10" s="128">
        <f t="shared" si="1"/>
        <v>9112</v>
      </c>
      <c r="M10" s="125">
        <f t="shared" si="2"/>
        <v>127.98010194681571</v>
      </c>
      <c r="N10" s="127">
        <f aca="true" t="shared" si="7" ref="N10:N17">B10+F10+J10</f>
        <v>50091</v>
      </c>
      <c r="O10" s="128">
        <f t="shared" si="3"/>
        <v>60352</v>
      </c>
      <c r="P10" s="128">
        <f t="shared" si="4"/>
        <v>10261</v>
      </c>
      <c r="Q10" s="125">
        <f t="shared" si="5"/>
        <v>120.48471781357928</v>
      </c>
    </row>
    <row r="11" spans="1:17" ht="12.75">
      <c r="A11" s="129" t="s">
        <v>6</v>
      </c>
      <c r="B11" s="127">
        <f>List2!E26+List2!E32</f>
        <v>1754</v>
      </c>
      <c r="C11" s="228">
        <f>'HV-HC orig'!F16+'HV-HC orig'!F17</f>
        <v>1858</v>
      </c>
      <c r="D11" s="131">
        <f t="shared" si="6"/>
        <v>104</v>
      </c>
      <c r="E11" s="125">
        <f>(C11/B11)*100</f>
        <v>105.92930444697835</v>
      </c>
      <c r="F11" s="127">
        <f>List2!F26+List2!F32</f>
        <v>95</v>
      </c>
      <c r="G11" s="228">
        <f>'HV-HC orig'!F18</f>
        <v>94</v>
      </c>
      <c r="H11" s="131">
        <f t="shared" si="0"/>
        <v>-1</v>
      </c>
      <c r="I11" s="125">
        <f>(G11/F11)*100</f>
        <v>98.94736842105263</v>
      </c>
      <c r="J11" s="127">
        <f>List2!H26+List2!H32+160</f>
        <v>5193</v>
      </c>
      <c r="K11" s="228">
        <f>'HV-HC orig'!F5-'HV-HC orig'!F15-'HV-HC orig'!F16-'HV-HC orig'!F17-'HV-HC orig'!F18</f>
        <v>4742</v>
      </c>
      <c r="L11" s="131">
        <f t="shared" si="1"/>
        <v>-451</v>
      </c>
      <c r="M11" s="125">
        <f t="shared" si="2"/>
        <v>91.31523204313498</v>
      </c>
      <c r="N11" s="130">
        <f t="shared" si="7"/>
        <v>7042</v>
      </c>
      <c r="O11" s="131">
        <f t="shared" si="3"/>
        <v>6694</v>
      </c>
      <c r="P11" s="131">
        <f t="shared" si="4"/>
        <v>-348</v>
      </c>
      <c r="Q11" s="125">
        <f t="shared" si="5"/>
        <v>95.05822209599546</v>
      </c>
    </row>
    <row r="12" spans="1:17" ht="12.75">
      <c r="A12" s="132" t="s">
        <v>7</v>
      </c>
      <c r="B12" s="127">
        <f>List2!E36+List2!E42</f>
        <v>9337.1</v>
      </c>
      <c r="C12" s="228">
        <f>'HV-HC orig'!G16+'HV-HC orig'!G17</f>
        <v>12186</v>
      </c>
      <c r="D12" s="131">
        <f t="shared" si="6"/>
        <v>2848.8999999999996</v>
      </c>
      <c r="E12" s="125">
        <f>(C12/B12)*100</f>
        <v>130.51161495539301</v>
      </c>
      <c r="F12" s="127">
        <f>List2!F36+List2!F42</f>
        <v>482.9</v>
      </c>
      <c r="G12" s="228">
        <f>'HV-HC orig'!G18</f>
        <v>614</v>
      </c>
      <c r="H12" s="131">
        <f t="shared" si="0"/>
        <v>131.10000000000002</v>
      </c>
      <c r="I12" s="125">
        <f>(G12/F12)*100</f>
        <v>127.14847794574446</v>
      </c>
      <c r="J12" s="127">
        <f>List2!H36+List2!H42+3473+7227</f>
        <v>38810</v>
      </c>
      <c r="K12" s="228">
        <f>'HV-HC orig'!G5-'HV-HC orig'!G15-'HV-HC orig'!G16-'HV-HC orig'!G17-'HV-HC orig'!G18</f>
        <v>108928</v>
      </c>
      <c r="L12" s="131">
        <f t="shared" si="1"/>
        <v>70118</v>
      </c>
      <c r="M12" s="125">
        <f t="shared" si="2"/>
        <v>280.66993043030146</v>
      </c>
      <c r="N12" s="130">
        <f t="shared" si="7"/>
        <v>48630</v>
      </c>
      <c r="O12" s="131">
        <f t="shared" si="3"/>
        <v>121728</v>
      </c>
      <c r="P12" s="131">
        <f t="shared" si="4"/>
        <v>73098</v>
      </c>
      <c r="Q12" s="125">
        <f t="shared" si="5"/>
        <v>250.31462060456508</v>
      </c>
    </row>
    <row r="13" spans="1:17" ht="12.75">
      <c r="A13" s="133" t="s">
        <v>213</v>
      </c>
      <c r="B13" s="127">
        <f>List2!E46+List2!E52</f>
        <v>13962</v>
      </c>
      <c r="C13" s="228">
        <f>'HV-HC orig'!H16+'HV-HC orig'!H17</f>
        <v>14519</v>
      </c>
      <c r="D13" s="131">
        <f t="shared" si="6"/>
        <v>557</v>
      </c>
      <c r="E13" s="125">
        <f>(C13/B13)*100</f>
        <v>103.98939979945567</v>
      </c>
      <c r="F13" s="127">
        <f>List2!F46+List2!F52</f>
        <v>818</v>
      </c>
      <c r="G13" s="228">
        <f>'HV-HC orig'!H18</f>
        <v>859</v>
      </c>
      <c r="H13" s="131">
        <f t="shared" si="0"/>
        <v>41</v>
      </c>
      <c r="I13" s="125">
        <f>(G13/F13)*100</f>
        <v>105.01222493887529</v>
      </c>
      <c r="J13" s="127">
        <f>List2!H46+List2!H52+11544+300</f>
        <v>200421</v>
      </c>
      <c r="K13" s="228">
        <f>'HV-HC orig'!H5-'HV-HC orig'!H15-'HV-HC orig'!H16-'HV-HC orig'!H17-'HV-HC orig'!H18</f>
        <v>237346</v>
      </c>
      <c r="L13" s="131">
        <f t="shared" si="1"/>
        <v>36925</v>
      </c>
      <c r="M13" s="125">
        <f t="shared" si="2"/>
        <v>118.42371807345538</v>
      </c>
      <c r="N13" s="130">
        <f t="shared" si="7"/>
        <v>215201</v>
      </c>
      <c r="O13" s="131">
        <f t="shared" si="3"/>
        <v>252724</v>
      </c>
      <c r="P13" s="131">
        <f t="shared" si="4"/>
        <v>37523</v>
      </c>
      <c r="Q13" s="125">
        <f t="shared" si="5"/>
        <v>117.43625726646252</v>
      </c>
    </row>
    <row r="14" spans="1:17" ht="12.75">
      <c r="A14" s="133" t="s">
        <v>8</v>
      </c>
      <c r="B14" s="127">
        <f>List2!E56+List2!E62</f>
        <v>0</v>
      </c>
      <c r="C14" s="228">
        <f>'HV-HC orig'!I16+'HV-HC orig'!I17</f>
        <v>0</v>
      </c>
      <c r="D14" s="131">
        <f t="shared" si="6"/>
        <v>0</v>
      </c>
      <c r="E14" s="125"/>
      <c r="F14" s="127">
        <f>List2!F56+List2!F62</f>
        <v>0</v>
      </c>
      <c r="G14" s="228">
        <f>'HV-HC orig'!I18</f>
        <v>0</v>
      </c>
      <c r="H14" s="131">
        <f t="shared" si="0"/>
        <v>0</v>
      </c>
      <c r="I14" s="125"/>
      <c r="J14" s="127">
        <f>List2!H56+List2!H62+102</f>
        <v>12648</v>
      </c>
      <c r="K14" s="228">
        <f>'HV-HC orig'!I5-'HV-HC orig'!I15-'HV-HC orig'!I16-'HV-HC orig'!I17-'HV-HC orig'!I18</f>
        <v>14796</v>
      </c>
      <c r="L14" s="131">
        <f t="shared" si="1"/>
        <v>2148</v>
      </c>
      <c r="M14" s="125">
        <f t="shared" si="2"/>
        <v>116.98292220113854</v>
      </c>
      <c r="N14" s="130">
        <f t="shared" si="7"/>
        <v>12648</v>
      </c>
      <c r="O14" s="131">
        <f t="shared" si="3"/>
        <v>14796</v>
      </c>
      <c r="P14" s="131">
        <f t="shared" si="4"/>
        <v>2148</v>
      </c>
      <c r="Q14" s="125">
        <f t="shared" si="5"/>
        <v>116.98292220113854</v>
      </c>
    </row>
    <row r="15" spans="1:17" ht="12.75">
      <c r="A15" s="133" t="s">
        <v>214</v>
      </c>
      <c r="B15" s="127">
        <f>List2!E66+List2!E72</f>
        <v>15160.380000000001</v>
      </c>
      <c r="C15" s="228">
        <f>'HV-HC orig'!J16+'HV-HC orig'!J17</f>
        <v>17597</v>
      </c>
      <c r="D15" s="131">
        <f t="shared" si="6"/>
        <v>2436.619999999999</v>
      </c>
      <c r="E15" s="125">
        <f>(C15/B15)*100</f>
        <v>116.072288425488</v>
      </c>
      <c r="F15" s="127">
        <f>List2!F66+List2!F72</f>
        <v>775.62</v>
      </c>
      <c r="G15" s="228">
        <f>'HV-HC orig'!J18</f>
        <v>849</v>
      </c>
      <c r="H15" s="131">
        <f t="shared" si="0"/>
        <v>73.38</v>
      </c>
      <c r="I15" s="125">
        <f>(G15/F15)*100</f>
        <v>109.46081844202058</v>
      </c>
      <c r="J15" s="127">
        <f>List2!H66+List2!H72+500</f>
        <v>212339</v>
      </c>
      <c r="K15" s="228">
        <f>'HV-HC orig'!J5-'HV-HC orig'!J15-'HV-HC orig'!J16-'HV-HC orig'!J17-'HV-HC orig'!J18</f>
        <v>250332</v>
      </c>
      <c r="L15" s="131">
        <f t="shared" si="1"/>
        <v>37993</v>
      </c>
      <c r="M15" s="125">
        <f>(K15/J15)*100</f>
        <v>117.89261511074274</v>
      </c>
      <c r="N15" s="130">
        <f>B15+F15+J15</f>
        <v>228275</v>
      </c>
      <c r="O15" s="131">
        <f>C15+G15+K15</f>
        <v>268778</v>
      </c>
      <c r="P15" s="131">
        <f t="shared" si="4"/>
        <v>40503</v>
      </c>
      <c r="Q15" s="125">
        <f>(O15/N15)*100</f>
        <v>117.74307304785894</v>
      </c>
    </row>
    <row r="16" spans="1:17" ht="12.75">
      <c r="A16" s="133" t="s">
        <v>22</v>
      </c>
      <c r="B16" s="127">
        <f>List2!E76+List2!E82</f>
        <v>773</v>
      </c>
      <c r="C16" s="228">
        <f>'HV-HC orig'!K16+'HV-HC orig'!K17</f>
        <v>748</v>
      </c>
      <c r="D16" s="131">
        <f t="shared" si="6"/>
        <v>-25</v>
      </c>
      <c r="E16" s="125">
        <f>(C16/B16)*100</f>
        <v>96.76584734799482</v>
      </c>
      <c r="F16" s="127">
        <f>List2!F76+List2!F82</f>
        <v>31</v>
      </c>
      <c r="G16" s="228">
        <f>'HV-HC orig'!K18</f>
        <v>33</v>
      </c>
      <c r="H16" s="131">
        <f t="shared" si="0"/>
        <v>2</v>
      </c>
      <c r="I16" s="125">
        <f>(G16/F16)*100</f>
        <v>106.4516129032258</v>
      </c>
      <c r="J16" s="127">
        <f>List2!H76+List2!H82+850+10</f>
        <v>2595</v>
      </c>
      <c r="K16" s="228">
        <f>'HV-HC orig'!K5-'HV-HC orig'!K15-'HV-HC orig'!K16-'HV-HC orig'!K17-'HV-HC orig'!K18</f>
        <v>2727</v>
      </c>
      <c r="L16" s="131">
        <f t="shared" si="1"/>
        <v>132</v>
      </c>
      <c r="M16" s="125">
        <f t="shared" si="2"/>
        <v>105.08670520231213</v>
      </c>
      <c r="N16" s="130">
        <f t="shared" si="7"/>
        <v>3399</v>
      </c>
      <c r="O16" s="131">
        <f t="shared" si="3"/>
        <v>3508</v>
      </c>
      <c r="P16" s="131">
        <f t="shared" si="4"/>
        <v>109</v>
      </c>
      <c r="Q16" s="125">
        <f t="shared" si="5"/>
        <v>103.20682553692262</v>
      </c>
    </row>
    <row r="17" spans="1:17" ht="13.5" thickBot="1">
      <c r="A17" s="136" t="s">
        <v>10</v>
      </c>
      <c r="B17" s="283">
        <f>List2!E86+List2!E92</f>
        <v>820</v>
      </c>
      <c r="C17" s="229">
        <f>'HV-HC orig'!L16+'HV-HC orig'!L17</f>
        <v>820</v>
      </c>
      <c r="D17" s="135">
        <f t="shared" si="6"/>
        <v>0</v>
      </c>
      <c r="E17" s="137">
        <f>(C17/B17)*100</f>
        <v>100</v>
      </c>
      <c r="F17" s="283">
        <f>List2!F86+List2!F92</f>
        <v>48</v>
      </c>
      <c r="G17" s="229">
        <f>'HV-HC orig'!L18</f>
        <v>48</v>
      </c>
      <c r="H17" s="135">
        <f t="shared" si="0"/>
        <v>0</v>
      </c>
      <c r="I17" s="137">
        <f>(G17/F17)*100</f>
        <v>100</v>
      </c>
      <c r="J17" s="283">
        <f>List2!H86+List2!H92+850</f>
        <v>9566</v>
      </c>
      <c r="K17" s="229">
        <f>'HV-HC orig'!L5-'HV-HC orig'!L15-'HV-HC orig'!L16-'HV-HC orig'!L17-'HV-HC orig'!L18</f>
        <v>10747</v>
      </c>
      <c r="L17" s="135">
        <f t="shared" si="1"/>
        <v>1181</v>
      </c>
      <c r="M17" s="137">
        <f t="shared" si="2"/>
        <v>112.3458080702488</v>
      </c>
      <c r="N17" s="134">
        <f t="shared" si="7"/>
        <v>10434</v>
      </c>
      <c r="O17" s="135">
        <f t="shared" si="3"/>
        <v>11615</v>
      </c>
      <c r="P17" s="135">
        <f t="shared" si="4"/>
        <v>1181</v>
      </c>
      <c r="Q17" s="137">
        <f t="shared" si="5"/>
        <v>111.31876557408474</v>
      </c>
    </row>
    <row r="18" spans="1:17" ht="16.5" thickBot="1">
      <c r="A18" s="138" t="s">
        <v>130</v>
      </c>
      <c r="B18" s="139">
        <f>SUM(B9:B17)</f>
        <v>69593.06</v>
      </c>
      <c r="C18" s="230">
        <f>SUM(C9:C17)</f>
        <v>79986</v>
      </c>
      <c r="D18" s="140">
        <f>SUM(D9:D17)</f>
        <v>10392.939999999997</v>
      </c>
      <c r="E18" s="141">
        <f>(C18/B18)*100</f>
        <v>114.93387415354348</v>
      </c>
      <c r="F18" s="139">
        <f>SUM(F9:F17)</f>
        <v>3780.94</v>
      </c>
      <c r="G18" s="230">
        <f>SUM(G9:G17)</f>
        <v>4275</v>
      </c>
      <c r="H18" s="140">
        <f>SUM(H9:H17)+0.5</f>
        <v>494.56000000000006</v>
      </c>
      <c r="I18" s="141">
        <f>(G18/F18)*100</f>
        <v>113.06712087470312</v>
      </c>
      <c r="J18" s="139">
        <f>SUM(J9:J17)</f>
        <v>631753</v>
      </c>
      <c r="K18" s="230">
        <f>SUM(K9:K17)</f>
        <v>1264769</v>
      </c>
      <c r="L18" s="140">
        <f>SUM(L9:L17)</f>
        <v>633016</v>
      </c>
      <c r="M18" s="141">
        <f t="shared" si="2"/>
        <v>200.1999199054061</v>
      </c>
      <c r="N18" s="139">
        <f>SUM(N9:N17)</f>
        <v>705127</v>
      </c>
      <c r="O18" s="140">
        <f>SUM(O9:O17)</f>
        <v>1349030</v>
      </c>
      <c r="P18" s="140">
        <f>SUM(P9:P17)</f>
        <v>643903</v>
      </c>
      <c r="Q18" s="141">
        <f t="shared" si="5"/>
        <v>191.31730879685506</v>
      </c>
    </row>
    <row r="25" ht="12.75">
      <c r="F25" s="116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19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5" sqref="I15"/>
    </sheetView>
  </sheetViews>
  <sheetFormatPr defaultColWidth="9.140625" defaultRowHeight="12.75"/>
  <cols>
    <col min="1" max="1" width="13.140625" style="0" customWidth="1"/>
    <col min="4" max="4" width="8.140625" style="0" customWidth="1"/>
    <col min="5" max="5" width="9.57421875" style="0" customWidth="1"/>
    <col min="6" max="6" width="11.57421875" style="0" customWidth="1"/>
    <col min="9" max="9" width="8.00390625" style="0" customWidth="1"/>
    <col min="12" max="12" width="8.140625" style="0" customWidth="1"/>
  </cols>
  <sheetData>
    <row r="1" ht="15.75">
      <c r="K1" s="2" t="s">
        <v>210</v>
      </c>
    </row>
    <row r="2" ht="12.75">
      <c r="A2" s="84" t="s">
        <v>246</v>
      </c>
    </row>
    <row r="3" ht="12.75">
      <c r="A3" s="84"/>
    </row>
    <row r="4" ht="12.75">
      <c r="A4" s="84"/>
    </row>
    <row r="5" ht="13.5" thickBot="1">
      <c r="H5" t="s">
        <v>1</v>
      </c>
    </row>
    <row r="6" spans="1:12" ht="12.75" customHeight="1">
      <c r="A6" s="612" t="s">
        <v>107</v>
      </c>
      <c r="B6" s="614" t="s">
        <v>490</v>
      </c>
      <c r="C6" s="609"/>
      <c r="D6" s="606" t="s">
        <v>241</v>
      </c>
      <c r="E6" s="610" t="s">
        <v>346</v>
      </c>
      <c r="F6" s="606" t="s">
        <v>489</v>
      </c>
      <c r="G6" s="608" t="s">
        <v>116</v>
      </c>
      <c r="H6" s="609"/>
      <c r="I6" s="606" t="s">
        <v>241</v>
      </c>
      <c r="J6" s="615" t="s">
        <v>491</v>
      </c>
      <c r="K6" s="609"/>
      <c r="L6" s="606" t="s">
        <v>241</v>
      </c>
    </row>
    <row r="7" spans="1:12" ht="25.5" customHeight="1" thickBot="1">
      <c r="A7" s="613"/>
      <c r="B7" s="95" t="s">
        <v>117</v>
      </c>
      <c r="C7" s="96" t="s">
        <v>118</v>
      </c>
      <c r="D7" s="607"/>
      <c r="E7" s="611"/>
      <c r="F7" s="607"/>
      <c r="G7" s="97" t="s">
        <v>117</v>
      </c>
      <c r="H7" s="96" t="s">
        <v>118</v>
      </c>
      <c r="I7" s="607"/>
      <c r="J7" s="97" t="s">
        <v>117</v>
      </c>
      <c r="K7" s="96" t="s">
        <v>118</v>
      </c>
      <c r="L7" s="607"/>
    </row>
    <row r="8" spans="1:13" ht="12.75">
      <c r="A8" s="100" t="s">
        <v>4</v>
      </c>
      <c r="B8" s="89">
        <v>3500</v>
      </c>
      <c r="C8" s="89">
        <f>'HV-HC orig'!D47-'HV-HC orig'!D68+'HV-HC orig'!D70</f>
        <v>524403</v>
      </c>
      <c r="D8" s="102">
        <f aca="true" t="shared" si="0" ref="D8:D16">C8-B8</f>
        <v>520903</v>
      </c>
      <c r="E8" s="103">
        <f>'HV-HC orig'!D68</f>
        <v>11419</v>
      </c>
      <c r="F8" s="571">
        <v>1072</v>
      </c>
      <c r="G8" s="105">
        <f>B8</f>
        <v>3500</v>
      </c>
      <c r="H8" s="98">
        <f>SUM(C8+E8)</f>
        <v>535822</v>
      </c>
      <c r="I8" s="104">
        <f>H8-G8</f>
        <v>532322</v>
      </c>
      <c r="J8" s="103">
        <f>B8</f>
        <v>3500</v>
      </c>
      <c r="K8" s="101">
        <f>C8+F8</f>
        <v>525475</v>
      </c>
      <c r="L8" s="104">
        <f aca="true" t="shared" si="1" ref="L8:L16">K8-J8</f>
        <v>521975</v>
      </c>
      <c r="M8" s="99"/>
    </row>
    <row r="9" spans="1:13" ht="12.75">
      <c r="A9" s="100" t="s">
        <v>5</v>
      </c>
      <c r="B9" s="89">
        <v>13000</v>
      </c>
      <c r="C9" s="89">
        <f>'HV-HC orig'!E47-'HV-HC orig'!E68+'HV-HC orig'!E70</f>
        <v>15866</v>
      </c>
      <c r="D9" s="102">
        <f t="shared" si="0"/>
        <v>2866</v>
      </c>
      <c r="E9" s="86">
        <f>'HV-HC orig'!E68</f>
        <v>16127</v>
      </c>
      <c r="F9" s="571">
        <v>1480</v>
      </c>
      <c r="G9" s="105">
        <f aca="true" t="shared" si="2" ref="G9:G16">B9</f>
        <v>13000</v>
      </c>
      <c r="H9" s="98">
        <f aca="true" t="shared" si="3" ref="H9:H16">SUM(C9+E9)</f>
        <v>31993</v>
      </c>
      <c r="I9" s="104">
        <f aca="true" t="shared" si="4" ref="I9:I16">H9-G9</f>
        <v>18993</v>
      </c>
      <c r="J9" s="103">
        <f aca="true" t="shared" si="5" ref="J9:J16">B9</f>
        <v>13000</v>
      </c>
      <c r="K9" s="106">
        <f aca="true" t="shared" si="6" ref="K9:K16">C9+F9</f>
        <v>17346</v>
      </c>
      <c r="L9" s="102">
        <f t="shared" si="1"/>
        <v>4346</v>
      </c>
      <c r="M9" s="99"/>
    </row>
    <row r="10" spans="1:13" ht="12.75">
      <c r="A10" s="100" t="s">
        <v>6</v>
      </c>
      <c r="B10" s="89">
        <v>160</v>
      </c>
      <c r="C10" s="89">
        <f>'HV-HC orig'!F47-'HV-HC orig'!F68+'HV-HC orig'!F70</f>
        <v>241</v>
      </c>
      <c r="D10" s="102">
        <f t="shared" si="0"/>
        <v>81</v>
      </c>
      <c r="E10" s="86">
        <f>'HV-HC orig'!F68</f>
        <v>0</v>
      </c>
      <c r="F10" s="571">
        <f>E10</f>
        <v>0</v>
      </c>
      <c r="G10" s="105">
        <f t="shared" si="2"/>
        <v>160</v>
      </c>
      <c r="H10" s="98">
        <f t="shared" si="3"/>
        <v>241</v>
      </c>
      <c r="I10" s="104">
        <f t="shared" si="4"/>
        <v>81</v>
      </c>
      <c r="J10" s="103">
        <f t="shared" si="5"/>
        <v>160</v>
      </c>
      <c r="K10" s="189">
        <f t="shared" si="6"/>
        <v>241</v>
      </c>
      <c r="L10" s="102">
        <f t="shared" si="1"/>
        <v>81</v>
      </c>
      <c r="M10" s="99"/>
    </row>
    <row r="11" spans="1:13" s="142" customFormat="1" ht="12.75">
      <c r="A11" s="253" t="s">
        <v>7</v>
      </c>
      <c r="B11" s="254">
        <v>3473</v>
      </c>
      <c r="C11" s="254">
        <f>'HV-HC orig'!G47-'HV-HC orig'!G68+'HV-HC orig'!G70</f>
        <v>6862</v>
      </c>
      <c r="D11" s="255">
        <f t="shared" si="0"/>
        <v>3389</v>
      </c>
      <c r="E11" s="188">
        <f>'HV-HC orig'!G68</f>
        <v>71993</v>
      </c>
      <c r="F11" s="571"/>
      <c r="G11" s="257">
        <f t="shared" si="2"/>
        <v>3473</v>
      </c>
      <c r="H11" s="210">
        <f t="shared" si="3"/>
        <v>78855</v>
      </c>
      <c r="I11" s="258">
        <f t="shared" si="4"/>
        <v>75382</v>
      </c>
      <c r="J11" s="256">
        <f t="shared" si="5"/>
        <v>3473</v>
      </c>
      <c r="K11" s="189">
        <f t="shared" si="6"/>
        <v>6862</v>
      </c>
      <c r="L11" s="255">
        <f t="shared" si="1"/>
        <v>3389</v>
      </c>
      <c r="M11" s="252"/>
    </row>
    <row r="12" spans="1:13" ht="12.75">
      <c r="A12" s="100" t="s">
        <v>213</v>
      </c>
      <c r="B12" s="91">
        <v>11844</v>
      </c>
      <c r="C12" s="91">
        <f>'HV-HC orig'!H47-'HV-HC orig'!H68+'HV-HC orig'!H70</f>
        <v>14164</v>
      </c>
      <c r="D12" s="102">
        <f t="shared" si="0"/>
        <v>2320</v>
      </c>
      <c r="E12" s="86">
        <f>'HV-HC orig'!H68+'HV-JC orig'!G68</f>
        <v>16612</v>
      </c>
      <c r="F12" s="571">
        <f>E12</f>
        <v>16612</v>
      </c>
      <c r="G12" s="105">
        <f t="shared" si="2"/>
        <v>11844</v>
      </c>
      <c r="H12" s="98">
        <f t="shared" si="3"/>
        <v>30776</v>
      </c>
      <c r="I12" s="104">
        <f t="shared" si="4"/>
        <v>18932</v>
      </c>
      <c r="J12" s="103">
        <f t="shared" si="5"/>
        <v>11844</v>
      </c>
      <c r="K12" s="101">
        <f t="shared" si="6"/>
        <v>30776</v>
      </c>
      <c r="L12" s="102">
        <f t="shared" si="1"/>
        <v>18932</v>
      </c>
      <c r="M12" s="99"/>
    </row>
    <row r="13" spans="1:13" ht="12.75">
      <c r="A13" s="100" t="s">
        <v>8</v>
      </c>
      <c r="B13" s="91">
        <v>102</v>
      </c>
      <c r="C13" s="91">
        <f>'HV-HC orig'!I47-'HV-HC orig'!I68+'HV-HC orig'!I70</f>
        <v>1604</v>
      </c>
      <c r="D13" s="102">
        <f t="shared" si="0"/>
        <v>1502</v>
      </c>
      <c r="E13" s="86">
        <f>'HV-HC orig'!I68</f>
        <v>0</v>
      </c>
      <c r="F13" s="571">
        <v>52</v>
      </c>
      <c r="G13" s="105">
        <f t="shared" si="2"/>
        <v>102</v>
      </c>
      <c r="H13" s="98">
        <f t="shared" si="3"/>
        <v>1604</v>
      </c>
      <c r="I13" s="104">
        <f t="shared" si="4"/>
        <v>1502</v>
      </c>
      <c r="J13" s="103">
        <f t="shared" si="5"/>
        <v>102</v>
      </c>
      <c r="K13" s="101">
        <f t="shared" si="6"/>
        <v>1656</v>
      </c>
      <c r="L13" s="102">
        <f t="shared" si="1"/>
        <v>1554</v>
      </c>
      <c r="M13" s="99"/>
    </row>
    <row r="14" spans="1:13" ht="12.75">
      <c r="A14" s="100" t="s">
        <v>214</v>
      </c>
      <c r="B14" s="89">
        <v>500</v>
      </c>
      <c r="C14" s="89">
        <f>'HV-HC orig'!J47-'HV-HC orig'!J68+'HV-HC orig'!J70</f>
        <v>97</v>
      </c>
      <c r="D14" s="102">
        <f t="shared" si="0"/>
        <v>-403</v>
      </c>
      <c r="E14" s="86">
        <f>'HV-HC orig'!J68</f>
        <v>73479</v>
      </c>
      <c r="F14" s="571"/>
      <c r="G14" s="105">
        <f t="shared" si="2"/>
        <v>500</v>
      </c>
      <c r="H14" s="98">
        <f t="shared" si="3"/>
        <v>73576</v>
      </c>
      <c r="I14" s="104">
        <f>H14-G14</f>
        <v>73076</v>
      </c>
      <c r="J14" s="103">
        <f t="shared" si="5"/>
        <v>500</v>
      </c>
      <c r="K14" s="101">
        <f t="shared" si="6"/>
        <v>97</v>
      </c>
      <c r="L14" s="102">
        <f t="shared" si="1"/>
        <v>-403</v>
      </c>
      <c r="M14" s="99"/>
    </row>
    <row r="15" spans="1:13" ht="12.75">
      <c r="A15" s="100" t="s">
        <v>22</v>
      </c>
      <c r="B15" s="89">
        <v>860</v>
      </c>
      <c r="C15" s="89">
        <f>'HV-HC orig'!K47-'HV-HC orig'!K68+'HV-HC orig'!K70</f>
        <v>859</v>
      </c>
      <c r="D15" s="102">
        <f t="shared" si="0"/>
        <v>-1</v>
      </c>
      <c r="E15" s="86">
        <f>'HV-HC orig'!K68</f>
        <v>340</v>
      </c>
      <c r="F15" s="571">
        <f>E15</f>
        <v>340</v>
      </c>
      <c r="G15" s="105">
        <f t="shared" si="2"/>
        <v>860</v>
      </c>
      <c r="H15" s="98">
        <f t="shared" si="3"/>
        <v>1199</v>
      </c>
      <c r="I15" s="104">
        <f t="shared" si="4"/>
        <v>339</v>
      </c>
      <c r="J15" s="103">
        <f t="shared" si="5"/>
        <v>860</v>
      </c>
      <c r="K15" s="101">
        <f t="shared" si="6"/>
        <v>1199</v>
      </c>
      <c r="L15" s="102">
        <f t="shared" si="1"/>
        <v>339</v>
      </c>
      <c r="M15" s="99"/>
    </row>
    <row r="16" spans="1:13" ht="12.75">
      <c r="A16" s="100" t="s">
        <v>10</v>
      </c>
      <c r="B16" s="89">
        <v>850</v>
      </c>
      <c r="C16" s="89">
        <f>'HV-HC orig'!L47-'HV-HC orig'!L68+'HV-HC orig'!L70</f>
        <v>2031</v>
      </c>
      <c r="D16" s="102">
        <f t="shared" si="0"/>
        <v>1181</v>
      </c>
      <c r="E16" s="86">
        <f>'HV-HC orig'!L68</f>
        <v>0</v>
      </c>
      <c r="F16" s="571">
        <f>E16</f>
        <v>0</v>
      </c>
      <c r="G16" s="105">
        <f t="shared" si="2"/>
        <v>850</v>
      </c>
      <c r="H16" s="98">
        <f t="shared" si="3"/>
        <v>2031</v>
      </c>
      <c r="I16" s="104">
        <f t="shared" si="4"/>
        <v>1181</v>
      </c>
      <c r="J16" s="103">
        <f t="shared" si="5"/>
        <v>850</v>
      </c>
      <c r="K16" s="101">
        <f t="shared" si="6"/>
        <v>2031</v>
      </c>
      <c r="L16" s="102">
        <f t="shared" si="1"/>
        <v>1181</v>
      </c>
      <c r="M16" s="99"/>
    </row>
    <row r="17" spans="1:12" ht="13.5" thickBot="1">
      <c r="A17" s="107" t="s">
        <v>114</v>
      </c>
      <c r="B17" s="108">
        <f aca="true" t="shared" si="7" ref="B17:I17">SUM(B8:B16)</f>
        <v>34289</v>
      </c>
      <c r="C17" s="93">
        <f t="shared" si="7"/>
        <v>566127</v>
      </c>
      <c r="D17" s="94">
        <f t="shared" si="7"/>
        <v>531838</v>
      </c>
      <c r="E17" s="93">
        <f t="shared" si="7"/>
        <v>189970</v>
      </c>
      <c r="F17" s="108">
        <f t="shared" si="7"/>
        <v>19556</v>
      </c>
      <c r="G17" s="110">
        <f t="shared" si="7"/>
        <v>34289</v>
      </c>
      <c r="H17" s="93">
        <f t="shared" si="7"/>
        <v>756097</v>
      </c>
      <c r="I17" s="94">
        <f t="shared" si="7"/>
        <v>721808</v>
      </c>
      <c r="J17" s="109">
        <f>SUM(J8:J16)</f>
        <v>34289</v>
      </c>
      <c r="K17" s="93">
        <f>SUM(K8:K16)</f>
        <v>585683</v>
      </c>
      <c r="L17" s="94">
        <f>SUM(L8:L16)</f>
        <v>551394</v>
      </c>
    </row>
    <row r="19" spans="1:14" ht="26.25" customHeight="1">
      <c r="A19" s="603" t="s">
        <v>496</v>
      </c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2"/>
      <c r="M19" s="602"/>
      <c r="N19" s="602"/>
    </row>
  </sheetData>
  <sheetProtection/>
  <mergeCells count="10">
    <mergeCell ref="A19:K19"/>
    <mergeCell ref="A6:A7"/>
    <mergeCell ref="B6:C6"/>
    <mergeCell ref="D6:D7"/>
    <mergeCell ref="J6:K6"/>
    <mergeCell ref="L6:L7"/>
    <mergeCell ref="I6:I7"/>
    <mergeCell ref="G6:H6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17"/>
  <sheetViews>
    <sheetView zoomScale="80" zoomScaleNormal="80" zoomScalePageLayoutView="0" workbookViewId="0" topLeftCell="A1">
      <selection activeCell="H20" sqref="H20"/>
    </sheetView>
  </sheetViews>
  <sheetFormatPr defaultColWidth="9.140625" defaultRowHeight="12.75"/>
  <cols>
    <col min="1" max="1" width="18.421875" style="0" customWidth="1"/>
    <col min="2" max="2" width="11.8515625" style="0" customWidth="1"/>
    <col min="4" max="4" width="11.57421875" style="0" customWidth="1"/>
    <col min="6" max="6" width="10.7109375" style="0" customWidth="1"/>
    <col min="8" max="8" width="14.140625" style="0" customWidth="1"/>
  </cols>
  <sheetData>
    <row r="1" ht="15.75">
      <c r="H1" s="2" t="s">
        <v>211</v>
      </c>
    </row>
    <row r="3" ht="12.75">
      <c r="A3" s="84" t="s">
        <v>247</v>
      </c>
    </row>
    <row r="4" ht="12.75">
      <c r="A4" s="84"/>
    </row>
    <row r="5" ht="13.5" thickBot="1">
      <c r="F5" t="s">
        <v>1</v>
      </c>
    </row>
    <row r="6" spans="1:8" ht="12.75" customHeight="1">
      <c r="A6" s="618" t="s">
        <v>107</v>
      </c>
      <c r="B6" s="620" t="s">
        <v>108</v>
      </c>
      <c r="C6" s="621"/>
      <c r="D6" s="620" t="s">
        <v>109</v>
      </c>
      <c r="E6" s="621"/>
      <c r="F6" s="620" t="s">
        <v>110</v>
      </c>
      <c r="G6" s="621"/>
      <c r="H6" s="616" t="s">
        <v>111</v>
      </c>
    </row>
    <row r="7" spans="1:8" ht="25.5">
      <c r="A7" s="619"/>
      <c r="B7" s="85" t="s">
        <v>108</v>
      </c>
      <c r="C7" s="85" t="s">
        <v>112</v>
      </c>
      <c r="D7" s="85" t="s">
        <v>109</v>
      </c>
      <c r="E7" s="85" t="s">
        <v>112</v>
      </c>
      <c r="F7" s="85" t="s">
        <v>113</v>
      </c>
      <c r="G7" s="85" t="s">
        <v>112</v>
      </c>
      <c r="H7" s="617"/>
    </row>
    <row r="8" spans="1:8" ht="12.75">
      <c r="A8" s="88" t="s">
        <v>4</v>
      </c>
      <c r="B8" s="101">
        <f>'HV-HC orig'!D81</f>
        <v>4341</v>
      </c>
      <c r="C8" s="89"/>
      <c r="D8" s="89">
        <f>'HV-JC orig'!D81</f>
        <v>1109</v>
      </c>
      <c r="E8" s="89"/>
      <c r="F8" s="89">
        <f aca="true" t="shared" si="0" ref="F8:F16">D8+B8</f>
        <v>5450</v>
      </c>
      <c r="G8" s="86">
        <f aca="true" t="shared" si="1" ref="G8:G16">C8+E8</f>
        <v>0</v>
      </c>
      <c r="H8" s="87">
        <f aca="true" t="shared" si="2" ref="H8:H16">F8-G8</f>
        <v>5450</v>
      </c>
    </row>
    <row r="9" spans="1:8" ht="12.75">
      <c r="A9" s="88" t="s">
        <v>5</v>
      </c>
      <c r="B9" s="106">
        <f>'HV-HC orig'!E81</f>
        <v>2326</v>
      </c>
      <c r="C9" s="89">
        <f>'HV-HC orig'!E82</f>
        <v>1804</v>
      </c>
      <c r="D9" s="89">
        <f>'HV-JC orig'!E81</f>
        <v>780</v>
      </c>
      <c r="E9" s="89"/>
      <c r="F9" s="89">
        <f t="shared" si="0"/>
        <v>3106</v>
      </c>
      <c r="G9" s="86">
        <f t="shared" si="1"/>
        <v>1804</v>
      </c>
      <c r="H9" s="87">
        <f t="shared" si="2"/>
        <v>1302</v>
      </c>
    </row>
    <row r="10" spans="1:8" ht="12.75">
      <c r="A10" s="88" t="s">
        <v>6</v>
      </c>
      <c r="B10" s="189">
        <f>'HV-HC orig'!F81</f>
        <v>428</v>
      </c>
      <c r="C10" s="89"/>
      <c r="D10" s="89"/>
      <c r="E10" s="89"/>
      <c r="F10" s="89">
        <f t="shared" si="0"/>
        <v>428</v>
      </c>
      <c r="G10" s="86">
        <f t="shared" si="1"/>
        <v>0</v>
      </c>
      <c r="H10" s="87">
        <f t="shared" si="2"/>
        <v>428</v>
      </c>
    </row>
    <row r="11" spans="1:8" ht="12.75">
      <c r="A11" s="90" t="s">
        <v>7</v>
      </c>
      <c r="B11" s="101">
        <f>'HV-HC orig'!G81</f>
        <v>854</v>
      </c>
      <c r="C11" s="91"/>
      <c r="D11" s="89">
        <f>'HV-JC orig'!F81</f>
        <v>-124</v>
      </c>
      <c r="E11" s="89"/>
      <c r="F11" s="89">
        <f t="shared" si="0"/>
        <v>730</v>
      </c>
      <c r="G11" s="86">
        <f t="shared" si="1"/>
        <v>0</v>
      </c>
      <c r="H11" s="87">
        <f t="shared" si="2"/>
        <v>730</v>
      </c>
    </row>
    <row r="12" spans="1:8" ht="12.75">
      <c r="A12" s="88" t="s">
        <v>213</v>
      </c>
      <c r="B12" s="101">
        <f>'HV-HC orig'!H81</f>
        <v>-20001</v>
      </c>
      <c r="C12" s="91">
        <f>'HV-HC orig'!H82</f>
        <v>338</v>
      </c>
      <c r="D12" s="89">
        <f>'HV-JC orig'!G81</f>
        <v>114</v>
      </c>
      <c r="E12" s="89"/>
      <c r="F12" s="89">
        <f t="shared" si="0"/>
        <v>-19887</v>
      </c>
      <c r="G12" s="86">
        <f t="shared" si="1"/>
        <v>338</v>
      </c>
      <c r="H12" s="87">
        <f t="shared" si="2"/>
        <v>-20225</v>
      </c>
    </row>
    <row r="13" spans="1:8" ht="12.75">
      <c r="A13" s="88" t="s">
        <v>8</v>
      </c>
      <c r="B13" s="101">
        <f>'HV-HC orig'!I81</f>
        <v>1</v>
      </c>
      <c r="C13" s="91"/>
      <c r="D13" s="89"/>
      <c r="E13" s="89"/>
      <c r="F13" s="89">
        <f t="shared" si="0"/>
        <v>1</v>
      </c>
      <c r="G13" s="86">
        <f t="shared" si="1"/>
        <v>0</v>
      </c>
      <c r="H13" s="87">
        <f t="shared" si="2"/>
        <v>1</v>
      </c>
    </row>
    <row r="14" spans="1:8" ht="12.75">
      <c r="A14" s="88" t="s">
        <v>214</v>
      </c>
      <c r="B14" s="101">
        <f>'HV-HC orig'!J81</f>
        <v>267</v>
      </c>
      <c r="C14" s="89"/>
      <c r="D14" s="89"/>
      <c r="E14" s="89"/>
      <c r="F14" s="89">
        <f>D14+B14</f>
        <v>267</v>
      </c>
      <c r="G14" s="86">
        <f>C14+E14</f>
        <v>0</v>
      </c>
      <c r="H14" s="87">
        <f>F14-G14</f>
        <v>267</v>
      </c>
    </row>
    <row r="15" spans="1:8" ht="12.75">
      <c r="A15" s="88" t="s">
        <v>22</v>
      </c>
      <c r="B15" s="101">
        <f>'HV-HC orig'!K81</f>
        <v>311</v>
      </c>
      <c r="C15" s="89">
        <f>'HV-HC orig'!K82+'HV-HC orig'!K83</f>
        <v>164</v>
      </c>
      <c r="D15" s="89"/>
      <c r="E15" s="89"/>
      <c r="F15" s="89">
        <f t="shared" si="0"/>
        <v>311</v>
      </c>
      <c r="G15" s="86">
        <f t="shared" si="1"/>
        <v>164</v>
      </c>
      <c r="H15" s="87">
        <f t="shared" si="2"/>
        <v>147</v>
      </c>
    </row>
    <row r="16" spans="1:8" ht="12.75">
      <c r="A16" s="88" t="s">
        <v>10</v>
      </c>
      <c r="B16" s="101">
        <f>'HV-HC orig'!L81</f>
        <v>0</v>
      </c>
      <c r="C16" s="89"/>
      <c r="D16" s="89"/>
      <c r="E16" s="89"/>
      <c r="F16" s="89">
        <f t="shared" si="0"/>
        <v>0</v>
      </c>
      <c r="G16" s="86">
        <f t="shared" si="1"/>
        <v>0</v>
      </c>
      <c r="H16" s="87">
        <f t="shared" si="2"/>
        <v>0</v>
      </c>
    </row>
    <row r="17" spans="1:8" ht="13.5" thickBot="1">
      <c r="A17" s="92" t="s">
        <v>114</v>
      </c>
      <c r="B17" s="93">
        <f aca="true" t="shared" si="3" ref="B17:H17">SUM(B8:B16)</f>
        <v>-11473</v>
      </c>
      <c r="C17" s="93">
        <f t="shared" si="3"/>
        <v>2306</v>
      </c>
      <c r="D17" s="93">
        <f t="shared" si="3"/>
        <v>1879</v>
      </c>
      <c r="E17" s="93">
        <f t="shared" si="3"/>
        <v>0</v>
      </c>
      <c r="F17" s="93">
        <f t="shared" si="3"/>
        <v>-9594</v>
      </c>
      <c r="G17" s="93">
        <f t="shared" si="3"/>
        <v>2306</v>
      </c>
      <c r="H17" s="94">
        <f t="shared" si="3"/>
        <v>-11900</v>
      </c>
    </row>
  </sheetData>
  <sheetProtection/>
  <mergeCells count="5">
    <mergeCell ref="H6:H7"/>
    <mergeCell ref="A6:A7"/>
    <mergeCell ref="B6:C6"/>
    <mergeCell ref="D6:E6"/>
    <mergeCell ref="F6:G6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4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76" sqref="B76"/>
    </sheetView>
  </sheetViews>
  <sheetFormatPr defaultColWidth="9.140625" defaultRowHeight="12.75"/>
  <cols>
    <col min="1" max="1" width="6.7109375" style="77" customWidth="1"/>
    <col min="2" max="2" width="43.140625" style="77" customWidth="1"/>
    <col min="3" max="3" width="7.140625" style="77" bestFit="1" customWidth="1"/>
    <col min="4" max="5" width="8.7109375" style="77" bestFit="1" customWidth="1"/>
    <col min="6" max="6" width="8.140625" style="77" bestFit="1" customWidth="1"/>
    <col min="7" max="8" width="8.7109375" style="77" bestFit="1" customWidth="1"/>
    <col min="9" max="9" width="7.57421875" style="77" bestFit="1" customWidth="1"/>
    <col min="10" max="10" width="8.7109375" style="77" bestFit="1" customWidth="1"/>
    <col min="11" max="12" width="7.7109375" style="77" customWidth="1"/>
    <col min="13" max="13" width="10.57421875" style="77" customWidth="1"/>
    <col min="14" max="16384" width="9.140625" style="77" customWidth="1"/>
  </cols>
  <sheetData>
    <row r="1" spans="10:13" ht="15.75">
      <c r="J1"/>
      <c r="L1" s="83"/>
      <c r="M1" s="113" t="s">
        <v>185</v>
      </c>
    </row>
    <row r="2" spans="1:14" ht="15.75">
      <c r="A2" s="78" t="s">
        <v>248</v>
      </c>
      <c r="B2" s="73"/>
      <c r="C2" s="73"/>
      <c r="D2" s="73"/>
      <c r="E2" s="73"/>
      <c r="F2" s="75"/>
      <c r="H2" s="75"/>
      <c r="I2" s="75"/>
      <c r="J2"/>
      <c r="K2" s="75"/>
      <c r="M2" s="75"/>
      <c r="N2" s="79"/>
    </row>
    <row r="3" spans="10:13" ht="16.5" thickBot="1">
      <c r="J3" s="268"/>
      <c r="M3" s="82" t="s">
        <v>28</v>
      </c>
    </row>
    <row r="4" spans="1:13" s="268" customFormat="1" ht="18" customHeight="1" thickBot="1">
      <c r="A4" s="301" t="s">
        <v>253</v>
      </c>
      <c r="B4" s="301" t="s">
        <v>254</v>
      </c>
      <c r="C4" s="302" t="s">
        <v>29</v>
      </c>
      <c r="D4" s="303" t="s">
        <v>30</v>
      </c>
      <c r="E4" s="303" t="s">
        <v>179</v>
      </c>
      <c r="F4" s="303" t="s">
        <v>103</v>
      </c>
      <c r="G4" s="303" t="s">
        <v>31</v>
      </c>
      <c r="H4" s="303" t="s">
        <v>215</v>
      </c>
      <c r="I4" s="303" t="s">
        <v>104</v>
      </c>
      <c r="J4" s="303" t="s">
        <v>216</v>
      </c>
      <c r="K4" s="303" t="s">
        <v>255</v>
      </c>
      <c r="L4" s="303" t="s">
        <v>105</v>
      </c>
      <c r="M4" s="304" t="s">
        <v>106</v>
      </c>
    </row>
    <row r="5" spans="1:13" s="310" customFormat="1" ht="14.25" customHeight="1">
      <c r="A5" s="305" t="s">
        <v>256</v>
      </c>
      <c r="B5" s="306" t="s">
        <v>257</v>
      </c>
      <c r="C5" s="307"/>
      <c r="D5" s="308">
        <f aca="true" t="shared" si="0" ref="D5:M5">SUM(D6,D37,D42)</f>
        <v>654422</v>
      </c>
      <c r="E5" s="308">
        <f t="shared" si="0"/>
        <v>116959</v>
      </c>
      <c r="F5" s="308">
        <f t="shared" si="0"/>
        <v>12293</v>
      </c>
      <c r="G5" s="308">
        <f t="shared" si="0"/>
        <v>161093</v>
      </c>
      <c r="H5" s="308">
        <f t="shared" si="0"/>
        <v>296187</v>
      </c>
      <c r="I5" s="308">
        <f t="shared" si="0"/>
        <v>14796</v>
      </c>
      <c r="J5" s="308">
        <f t="shared" si="0"/>
        <v>343419</v>
      </c>
      <c r="K5" s="308">
        <f t="shared" si="0"/>
        <v>6544</v>
      </c>
      <c r="L5" s="308">
        <f t="shared" si="0"/>
        <v>14455</v>
      </c>
      <c r="M5" s="309">
        <f t="shared" si="0"/>
        <v>1620168</v>
      </c>
    </row>
    <row r="6" spans="1:13" s="310" customFormat="1" ht="14.25" customHeight="1">
      <c r="A6" s="311" t="s">
        <v>258</v>
      </c>
      <c r="B6" s="312" t="s">
        <v>259</v>
      </c>
      <c r="C6" s="313"/>
      <c r="D6" s="314">
        <f aca="true" t="shared" si="1" ref="D6:M6">SUM(D7:D36)</f>
        <v>652604</v>
      </c>
      <c r="E6" s="314">
        <f t="shared" si="1"/>
        <v>116722</v>
      </c>
      <c r="F6" s="314">
        <f t="shared" si="1"/>
        <v>12228</v>
      </c>
      <c r="G6" s="314">
        <f t="shared" si="1"/>
        <v>160990</v>
      </c>
      <c r="H6" s="314">
        <f t="shared" si="1"/>
        <v>295263</v>
      </c>
      <c r="I6" s="314">
        <f t="shared" si="1"/>
        <v>13974</v>
      </c>
      <c r="J6" s="314">
        <f t="shared" si="1"/>
        <v>343394</v>
      </c>
      <c r="K6" s="314">
        <f t="shared" si="1"/>
        <v>6494</v>
      </c>
      <c r="L6" s="314">
        <f t="shared" si="1"/>
        <v>14177</v>
      </c>
      <c r="M6" s="315">
        <f t="shared" si="1"/>
        <v>1615846</v>
      </c>
    </row>
    <row r="7" spans="1:13" s="268" customFormat="1" ht="14.25" customHeight="1">
      <c r="A7" s="316" t="s">
        <v>260</v>
      </c>
      <c r="B7" s="317" t="s">
        <v>33</v>
      </c>
      <c r="C7" s="318" t="s">
        <v>32</v>
      </c>
      <c r="D7" s="319">
        <v>13865</v>
      </c>
      <c r="E7" s="319">
        <v>3728</v>
      </c>
      <c r="F7" s="319">
        <v>1395</v>
      </c>
      <c r="G7" s="319">
        <v>2655</v>
      </c>
      <c r="H7" s="319">
        <v>13673</v>
      </c>
      <c r="I7" s="319">
        <v>98</v>
      </c>
      <c r="J7" s="319">
        <v>7354</v>
      </c>
      <c r="K7" s="319">
        <v>436</v>
      </c>
      <c r="L7" s="319">
        <v>832</v>
      </c>
      <c r="M7" s="320">
        <f aca="true" t="shared" si="2" ref="M7:M36">SUM(D7:L7)</f>
        <v>44036</v>
      </c>
    </row>
    <row r="8" spans="1:13" s="268" customFormat="1" ht="14.25" customHeight="1">
      <c r="A8" s="316" t="s">
        <v>261</v>
      </c>
      <c r="B8" s="321" t="s">
        <v>35</v>
      </c>
      <c r="C8" s="322" t="s">
        <v>34</v>
      </c>
      <c r="D8" s="323">
        <v>2285</v>
      </c>
      <c r="E8" s="323">
        <v>3297</v>
      </c>
      <c r="F8" s="323">
        <v>648</v>
      </c>
      <c r="G8" s="323">
        <v>953</v>
      </c>
      <c r="H8" s="323">
        <v>9829</v>
      </c>
      <c r="I8" s="323">
        <v>66</v>
      </c>
      <c r="J8" s="323">
        <v>4003</v>
      </c>
      <c r="K8" s="323">
        <v>263</v>
      </c>
      <c r="L8" s="323">
        <v>77</v>
      </c>
      <c r="M8" s="324">
        <f t="shared" si="2"/>
        <v>21421</v>
      </c>
    </row>
    <row r="9" spans="1:13" s="268" customFormat="1" ht="14.25" customHeight="1">
      <c r="A9" s="316" t="s">
        <v>262</v>
      </c>
      <c r="B9" s="321" t="s">
        <v>263</v>
      </c>
      <c r="C9" s="322" t="s">
        <v>36</v>
      </c>
      <c r="D9" s="323">
        <v>124</v>
      </c>
      <c r="E9" s="323">
        <v>0</v>
      </c>
      <c r="F9" s="323">
        <v>0</v>
      </c>
      <c r="G9" s="323">
        <v>0</v>
      </c>
      <c r="H9" s="323">
        <v>0</v>
      </c>
      <c r="I9" s="323">
        <v>0</v>
      </c>
      <c r="J9" s="323">
        <v>0</v>
      </c>
      <c r="K9" s="323">
        <v>0</v>
      </c>
      <c r="L9" s="323">
        <v>22</v>
      </c>
      <c r="M9" s="324">
        <f t="shared" si="2"/>
        <v>146</v>
      </c>
    </row>
    <row r="10" spans="1:13" s="268" customFormat="1" ht="14.25" customHeight="1">
      <c r="A10" s="316" t="s">
        <v>264</v>
      </c>
      <c r="B10" s="321" t="s">
        <v>38</v>
      </c>
      <c r="C10" s="322" t="s">
        <v>37</v>
      </c>
      <c r="D10" s="323">
        <v>0</v>
      </c>
      <c r="E10" s="323">
        <v>0</v>
      </c>
      <c r="F10" s="323">
        <v>0</v>
      </c>
      <c r="G10" s="323">
        <v>0</v>
      </c>
      <c r="H10" s="323">
        <v>0</v>
      </c>
      <c r="I10" s="323">
        <v>0</v>
      </c>
      <c r="J10" s="323">
        <v>0</v>
      </c>
      <c r="K10" s="323">
        <v>0</v>
      </c>
      <c r="L10" s="323">
        <v>0</v>
      </c>
      <c r="M10" s="324">
        <f t="shared" si="2"/>
        <v>0</v>
      </c>
    </row>
    <row r="11" spans="1:13" s="268" customFormat="1" ht="14.25" customHeight="1">
      <c r="A11" s="316" t="s">
        <v>265</v>
      </c>
      <c r="B11" s="321" t="s">
        <v>40</v>
      </c>
      <c r="C11" s="322" t="s">
        <v>39</v>
      </c>
      <c r="D11" s="323">
        <v>852</v>
      </c>
      <c r="E11" s="323">
        <v>1767</v>
      </c>
      <c r="F11" s="323">
        <v>234</v>
      </c>
      <c r="G11" s="323">
        <v>468</v>
      </c>
      <c r="H11" s="323">
        <v>8085</v>
      </c>
      <c r="I11" s="323">
        <v>0</v>
      </c>
      <c r="J11" s="323">
        <v>1715</v>
      </c>
      <c r="K11" s="323">
        <v>81</v>
      </c>
      <c r="L11" s="323">
        <v>1</v>
      </c>
      <c r="M11" s="324">
        <f t="shared" si="2"/>
        <v>13203</v>
      </c>
    </row>
    <row r="12" spans="1:13" s="268" customFormat="1" ht="14.25" customHeight="1">
      <c r="A12" s="316" t="s">
        <v>266</v>
      </c>
      <c r="B12" s="321" t="s">
        <v>42</v>
      </c>
      <c r="C12" s="322" t="s">
        <v>41</v>
      </c>
      <c r="D12" s="323">
        <v>12094</v>
      </c>
      <c r="E12" s="323">
        <v>1725</v>
      </c>
      <c r="F12" s="323">
        <v>128</v>
      </c>
      <c r="G12" s="323">
        <v>1856</v>
      </c>
      <c r="H12" s="323">
        <v>513</v>
      </c>
      <c r="I12" s="323">
        <v>1793</v>
      </c>
      <c r="J12" s="323">
        <v>687</v>
      </c>
      <c r="K12" s="323">
        <v>69</v>
      </c>
      <c r="L12" s="323">
        <v>424</v>
      </c>
      <c r="M12" s="324">
        <f t="shared" si="2"/>
        <v>19289</v>
      </c>
    </row>
    <row r="13" spans="1:13" s="268" customFormat="1" ht="14.25" customHeight="1">
      <c r="A13" s="316" t="s">
        <v>267</v>
      </c>
      <c r="B13" s="321" t="s">
        <v>44</v>
      </c>
      <c r="C13" s="322" t="s">
        <v>43</v>
      </c>
      <c r="D13" s="323">
        <v>18</v>
      </c>
      <c r="E13" s="323">
        <v>64</v>
      </c>
      <c r="F13" s="323">
        <v>53</v>
      </c>
      <c r="G13" s="323">
        <v>257</v>
      </c>
      <c r="H13" s="323">
        <v>223</v>
      </c>
      <c r="I13" s="323">
        <v>0</v>
      </c>
      <c r="J13" s="323">
        <v>98</v>
      </c>
      <c r="K13" s="323">
        <v>141</v>
      </c>
      <c r="L13" s="323">
        <v>0</v>
      </c>
      <c r="M13" s="324">
        <f t="shared" si="2"/>
        <v>854</v>
      </c>
    </row>
    <row r="14" spans="1:13" s="268" customFormat="1" ht="14.25" customHeight="1">
      <c r="A14" s="316" t="s">
        <v>268</v>
      </c>
      <c r="B14" s="321" t="s">
        <v>46</v>
      </c>
      <c r="C14" s="322" t="s">
        <v>45</v>
      </c>
      <c r="D14" s="323">
        <v>32150</v>
      </c>
      <c r="E14" s="323">
        <v>23269</v>
      </c>
      <c r="F14" s="323">
        <v>1640</v>
      </c>
      <c r="G14" s="323">
        <v>97625</v>
      </c>
      <c r="H14" s="323">
        <v>181851</v>
      </c>
      <c r="I14" s="323">
        <v>1392</v>
      </c>
      <c r="J14" s="323">
        <v>226137</v>
      </c>
      <c r="K14" s="323">
        <v>1241</v>
      </c>
      <c r="L14" s="323">
        <v>7857</v>
      </c>
      <c r="M14" s="324">
        <f t="shared" si="2"/>
        <v>573162</v>
      </c>
    </row>
    <row r="15" spans="1:13" s="268" customFormat="1" ht="14.25" customHeight="1">
      <c r="A15" s="316" t="s">
        <v>269</v>
      </c>
      <c r="B15" s="321" t="s">
        <v>48</v>
      </c>
      <c r="C15" s="322" t="s">
        <v>47</v>
      </c>
      <c r="D15" s="323">
        <v>45587</v>
      </c>
      <c r="E15" s="323">
        <v>56607</v>
      </c>
      <c r="F15" s="323">
        <v>5599</v>
      </c>
      <c r="G15" s="323">
        <v>39365</v>
      </c>
      <c r="H15" s="323">
        <v>43463</v>
      </c>
      <c r="I15" s="323">
        <v>0</v>
      </c>
      <c r="J15" s="323">
        <v>74641</v>
      </c>
      <c r="K15" s="323">
        <v>3036</v>
      </c>
      <c r="L15" s="323">
        <v>2840</v>
      </c>
      <c r="M15" s="324">
        <f t="shared" si="2"/>
        <v>271138</v>
      </c>
    </row>
    <row r="16" spans="1:13" s="268" customFormat="1" ht="14.25" customHeight="1">
      <c r="A16" s="316" t="s">
        <v>270</v>
      </c>
      <c r="B16" s="321" t="s">
        <v>50</v>
      </c>
      <c r="C16" s="322" t="s">
        <v>49</v>
      </c>
      <c r="D16" s="323">
        <v>14570</v>
      </c>
      <c r="E16" s="323">
        <v>17688</v>
      </c>
      <c r="F16" s="323">
        <v>1834</v>
      </c>
      <c r="G16" s="323">
        <v>12186</v>
      </c>
      <c r="H16" s="323">
        <v>14519</v>
      </c>
      <c r="I16" s="323">
        <v>0</v>
      </c>
      <c r="J16" s="323">
        <v>17428</v>
      </c>
      <c r="K16" s="323">
        <v>739</v>
      </c>
      <c r="L16" s="323">
        <v>820</v>
      </c>
      <c r="M16" s="324">
        <f t="shared" si="2"/>
        <v>79784</v>
      </c>
    </row>
    <row r="17" spans="1:13" s="268" customFormat="1" ht="14.25" customHeight="1">
      <c r="A17" s="316" t="s">
        <v>271</v>
      </c>
      <c r="B17" s="321" t="s">
        <v>272</v>
      </c>
      <c r="C17" s="322" t="s">
        <v>51</v>
      </c>
      <c r="D17" s="323">
        <v>0</v>
      </c>
      <c r="E17" s="323">
        <v>0</v>
      </c>
      <c r="F17" s="323">
        <v>24</v>
      </c>
      <c r="G17" s="323">
        <v>0</v>
      </c>
      <c r="H17" s="323">
        <v>0</v>
      </c>
      <c r="I17" s="323">
        <v>0</v>
      </c>
      <c r="J17" s="323">
        <v>169</v>
      </c>
      <c r="K17" s="323">
        <v>9</v>
      </c>
      <c r="L17" s="323">
        <v>0</v>
      </c>
      <c r="M17" s="324">
        <f t="shared" si="2"/>
        <v>202</v>
      </c>
    </row>
    <row r="18" spans="1:13" s="268" customFormat="1" ht="14.25" customHeight="1">
      <c r="A18" s="316" t="s">
        <v>273</v>
      </c>
      <c r="B18" s="321" t="s">
        <v>53</v>
      </c>
      <c r="C18" s="322" t="s">
        <v>52</v>
      </c>
      <c r="D18" s="323">
        <v>792</v>
      </c>
      <c r="E18" s="323">
        <v>986</v>
      </c>
      <c r="F18" s="323">
        <v>94</v>
      </c>
      <c r="G18" s="323">
        <v>614</v>
      </c>
      <c r="H18" s="323">
        <v>859</v>
      </c>
      <c r="I18" s="323">
        <v>0</v>
      </c>
      <c r="J18" s="323">
        <v>849</v>
      </c>
      <c r="K18" s="323">
        <v>33</v>
      </c>
      <c r="L18" s="323">
        <v>48</v>
      </c>
      <c r="M18" s="324">
        <f t="shared" si="2"/>
        <v>4275</v>
      </c>
    </row>
    <row r="19" spans="1:13" s="268" customFormat="1" ht="14.25" customHeight="1">
      <c r="A19" s="316" t="s">
        <v>274</v>
      </c>
      <c r="B19" s="321" t="s">
        <v>275</v>
      </c>
      <c r="C19" s="322" t="s">
        <v>54</v>
      </c>
      <c r="D19" s="323">
        <v>799</v>
      </c>
      <c r="E19" s="323">
        <v>68</v>
      </c>
      <c r="F19" s="323">
        <v>13</v>
      </c>
      <c r="G19" s="323">
        <v>447</v>
      </c>
      <c r="H19" s="323">
        <v>1167</v>
      </c>
      <c r="I19" s="323">
        <v>0</v>
      </c>
      <c r="J19" s="323">
        <v>867</v>
      </c>
      <c r="K19" s="323">
        <v>2</v>
      </c>
      <c r="L19" s="323">
        <v>4</v>
      </c>
      <c r="M19" s="324">
        <f t="shared" si="2"/>
        <v>3367</v>
      </c>
    </row>
    <row r="20" spans="1:13" s="268" customFormat="1" ht="14.25" customHeight="1">
      <c r="A20" s="316" t="s">
        <v>276</v>
      </c>
      <c r="B20" s="321" t="s">
        <v>56</v>
      </c>
      <c r="C20" s="322" t="s">
        <v>55</v>
      </c>
      <c r="D20" s="323">
        <v>0</v>
      </c>
      <c r="E20" s="323">
        <v>0</v>
      </c>
      <c r="F20" s="323">
        <v>4</v>
      </c>
      <c r="G20" s="323">
        <v>1</v>
      </c>
      <c r="H20" s="323">
        <v>0</v>
      </c>
      <c r="I20" s="323">
        <v>0</v>
      </c>
      <c r="J20" s="323">
        <v>0</v>
      </c>
      <c r="K20" s="323">
        <v>0</v>
      </c>
      <c r="L20" s="323">
        <v>0</v>
      </c>
      <c r="M20" s="324">
        <f t="shared" si="2"/>
        <v>5</v>
      </c>
    </row>
    <row r="21" spans="1:13" s="268" customFormat="1" ht="14.25" customHeight="1">
      <c r="A21" s="316" t="s">
        <v>277</v>
      </c>
      <c r="B21" s="321" t="s">
        <v>58</v>
      </c>
      <c r="C21" s="322" t="s">
        <v>57</v>
      </c>
      <c r="D21" s="323">
        <v>18</v>
      </c>
      <c r="E21" s="323">
        <v>39</v>
      </c>
      <c r="F21" s="323">
        <v>0</v>
      </c>
      <c r="G21" s="323">
        <v>6</v>
      </c>
      <c r="H21" s="323">
        <v>2</v>
      </c>
      <c r="I21" s="323">
        <v>0</v>
      </c>
      <c r="J21" s="323">
        <v>0</v>
      </c>
      <c r="K21" s="323">
        <v>0</v>
      </c>
      <c r="L21" s="323">
        <v>0</v>
      </c>
      <c r="M21" s="324">
        <f t="shared" si="2"/>
        <v>65</v>
      </c>
    </row>
    <row r="22" spans="1:13" s="268" customFormat="1" ht="14.25" customHeight="1">
      <c r="A22" s="316" t="s">
        <v>278</v>
      </c>
      <c r="B22" s="321" t="s">
        <v>279</v>
      </c>
      <c r="C22" s="322" t="s">
        <v>59</v>
      </c>
      <c r="D22" s="323">
        <v>0</v>
      </c>
      <c r="E22" s="323">
        <v>16</v>
      </c>
      <c r="F22" s="323">
        <v>0</v>
      </c>
      <c r="G22" s="323">
        <v>27</v>
      </c>
      <c r="H22" s="323">
        <v>0</v>
      </c>
      <c r="I22" s="323">
        <v>0</v>
      </c>
      <c r="J22" s="323">
        <v>6</v>
      </c>
      <c r="K22" s="323">
        <v>1</v>
      </c>
      <c r="L22" s="323">
        <v>0</v>
      </c>
      <c r="M22" s="324">
        <f t="shared" si="2"/>
        <v>50</v>
      </c>
    </row>
    <row r="23" spans="1:13" s="268" customFormat="1" ht="14.25" customHeight="1">
      <c r="A23" s="316" t="s">
        <v>280</v>
      </c>
      <c r="B23" s="321" t="s">
        <v>61</v>
      </c>
      <c r="C23" s="322" t="s">
        <v>60</v>
      </c>
      <c r="D23" s="323">
        <v>0</v>
      </c>
      <c r="E23" s="323">
        <v>0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  <c r="K23" s="323">
        <v>17</v>
      </c>
      <c r="L23" s="323">
        <v>3</v>
      </c>
      <c r="M23" s="324">
        <f t="shared" si="2"/>
        <v>20</v>
      </c>
    </row>
    <row r="24" spans="1:13" s="268" customFormat="1" ht="14.25" customHeight="1">
      <c r="A24" s="316" t="s">
        <v>281</v>
      </c>
      <c r="B24" s="321" t="s">
        <v>282</v>
      </c>
      <c r="C24" s="322" t="s">
        <v>62</v>
      </c>
      <c r="D24" s="323">
        <v>1068</v>
      </c>
      <c r="E24" s="323">
        <v>0</v>
      </c>
      <c r="F24" s="323">
        <v>0</v>
      </c>
      <c r="G24" s="323">
        <v>1</v>
      </c>
      <c r="H24" s="323">
        <v>0</v>
      </c>
      <c r="I24" s="323">
        <v>0</v>
      </c>
      <c r="J24" s="323">
        <v>156</v>
      </c>
      <c r="K24" s="323">
        <v>0</v>
      </c>
      <c r="L24" s="323">
        <v>0</v>
      </c>
      <c r="M24" s="324">
        <f t="shared" si="2"/>
        <v>1225</v>
      </c>
    </row>
    <row r="25" spans="1:13" s="268" customFormat="1" ht="14.25" customHeight="1">
      <c r="A25" s="316" t="s">
        <v>283</v>
      </c>
      <c r="B25" s="321" t="s">
        <v>67</v>
      </c>
      <c r="C25" s="322" t="s">
        <v>63</v>
      </c>
      <c r="D25" s="323">
        <v>0</v>
      </c>
      <c r="E25" s="323">
        <v>0</v>
      </c>
      <c r="F25" s="323">
        <v>0</v>
      </c>
      <c r="G25" s="323">
        <v>0</v>
      </c>
      <c r="H25" s="323">
        <v>9</v>
      </c>
      <c r="I25" s="323">
        <v>0</v>
      </c>
      <c r="J25" s="323">
        <v>0</v>
      </c>
      <c r="K25" s="323">
        <v>0</v>
      </c>
      <c r="L25" s="323">
        <v>0</v>
      </c>
      <c r="M25" s="324">
        <f t="shared" si="2"/>
        <v>9</v>
      </c>
    </row>
    <row r="26" spans="1:13" s="268" customFormat="1" ht="14.25" customHeight="1">
      <c r="A26" s="316" t="s">
        <v>284</v>
      </c>
      <c r="B26" s="321" t="s">
        <v>75</v>
      </c>
      <c r="C26" s="322" t="s">
        <v>64</v>
      </c>
      <c r="D26" s="323">
        <v>0</v>
      </c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4">
        <f t="shared" si="2"/>
        <v>0</v>
      </c>
    </row>
    <row r="27" spans="1:13" s="268" customFormat="1" ht="14.25" customHeight="1">
      <c r="A27" s="316" t="s">
        <v>285</v>
      </c>
      <c r="B27" s="321" t="s">
        <v>69</v>
      </c>
      <c r="C27" s="322" t="s">
        <v>286</v>
      </c>
      <c r="D27" s="323">
        <v>0</v>
      </c>
      <c r="E27" s="323">
        <v>0</v>
      </c>
      <c r="F27" s="323">
        <v>0</v>
      </c>
      <c r="G27" s="323">
        <v>10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4">
        <f t="shared" si="2"/>
        <v>10</v>
      </c>
    </row>
    <row r="28" spans="1:13" s="268" customFormat="1" ht="14.25" customHeight="1">
      <c r="A28" s="316" t="s">
        <v>287</v>
      </c>
      <c r="B28" s="321" t="s">
        <v>288</v>
      </c>
      <c r="C28" s="322" t="s">
        <v>68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4">
        <f t="shared" si="2"/>
        <v>0</v>
      </c>
    </row>
    <row r="29" spans="1:13" s="268" customFormat="1" ht="14.25" customHeight="1">
      <c r="A29" s="316" t="s">
        <v>289</v>
      </c>
      <c r="B29" s="321" t="s">
        <v>290</v>
      </c>
      <c r="C29" s="322" t="s">
        <v>71</v>
      </c>
      <c r="D29" s="323">
        <v>4578</v>
      </c>
      <c r="E29" s="323">
        <v>6612</v>
      </c>
      <c r="F29" s="323">
        <v>562</v>
      </c>
      <c r="G29" s="323">
        <v>3643</v>
      </c>
      <c r="H29" s="323">
        <v>20814</v>
      </c>
      <c r="I29" s="323">
        <v>0</v>
      </c>
      <c r="J29" s="323">
        <v>9077</v>
      </c>
      <c r="K29" s="323">
        <v>345</v>
      </c>
      <c r="L29" s="323">
        <v>1017</v>
      </c>
      <c r="M29" s="324">
        <f t="shared" si="2"/>
        <v>46648</v>
      </c>
    </row>
    <row r="30" spans="1:13" s="268" customFormat="1" ht="14.25" customHeight="1">
      <c r="A30" s="316" t="s">
        <v>291</v>
      </c>
      <c r="B30" s="321" t="s">
        <v>292</v>
      </c>
      <c r="C30" s="322" t="s">
        <v>72</v>
      </c>
      <c r="D30" s="323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4">
        <f t="shared" si="2"/>
        <v>0</v>
      </c>
    </row>
    <row r="31" spans="1:13" s="268" customFormat="1" ht="14.25" customHeight="1">
      <c r="A31" s="316" t="s">
        <v>293</v>
      </c>
      <c r="B31" s="321" t="s">
        <v>294</v>
      </c>
      <c r="C31" s="322" t="s">
        <v>73</v>
      </c>
      <c r="D31" s="323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324">
        <f t="shared" si="2"/>
        <v>0</v>
      </c>
    </row>
    <row r="32" spans="1:13" s="268" customFormat="1" ht="14.25" customHeight="1">
      <c r="A32" s="316" t="s">
        <v>295</v>
      </c>
      <c r="B32" s="321" t="s">
        <v>296</v>
      </c>
      <c r="C32" s="322" t="s">
        <v>74</v>
      </c>
      <c r="D32" s="323">
        <v>0</v>
      </c>
      <c r="E32" s="323">
        <v>502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4">
        <f t="shared" si="2"/>
        <v>502</v>
      </c>
    </row>
    <row r="33" spans="1:13" s="268" customFormat="1" ht="14.25" customHeight="1">
      <c r="A33" s="316" t="s">
        <v>297</v>
      </c>
      <c r="B33" s="321" t="s">
        <v>298</v>
      </c>
      <c r="C33" s="322" t="s">
        <v>299</v>
      </c>
      <c r="D33" s="323">
        <v>0</v>
      </c>
      <c r="E33" s="323">
        <v>0</v>
      </c>
      <c r="F33" s="323">
        <v>0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323">
        <v>173</v>
      </c>
      <c r="M33" s="324">
        <f t="shared" si="2"/>
        <v>173</v>
      </c>
    </row>
    <row r="34" spans="1:13" s="268" customFormat="1" ht="14.25" customHeight="1">
      <c r="A34" s="316" t="s">
        <v>300</v>
      </c>
      <c r="B34" s="321" t="s">
        <v>301</v>
      </c>
      <c r="C34" s="322" t="s">
        <v>76</v>
      </c>
      <c r="D34" s="323">
        <v>784</v>
      </c>
      <c r="E34" s="323">
        <v>-1263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59</v>
      </c>
      <c r="M34" s="324">
        <f t="shared" si="2"/>
        <v>-420</v>
      </c>
    </row>
    <row r="35" spans="1:13" s="268" customFormat="1" ht="14.25" customHeight="1">
      <c r="A35" s="316" t="s">
        <v>302</v>
      </c>
      <c r="B35" s="321" t="s">
        <v>303</v>
      </c>
      <c r="C35" s="322" t="s">
        <v>304</v>
      </c>
      <c r="D35" s="323">
        <v>2754</v>
      </c>
      <c r="E35" s="323">
        <v>1270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4">
        <f t="shared" si="2"/>
        <v>4024</v>
      </c>
    </row>
    <row r="36" spans="1:13" s="268" customFormat="1" ht="14.25" customHeight="1">
      <c r="A36" s="316" t="s">
        <v>305</v>
      </c>
      <c r="B36" s="325" t="s">
        <v>306</v>
      </c>
      <c r="C36" s="322" t="s">
        <v>70</v>
      </c>
      <c r="D36" s="326">
        <v>520266</v>
      </c>
      <c r="E36" s="326">
        <v>347</v>
      </c>
      <c r="F36" s="326">
        <v>0</v>
      </c>
      <c r="G36" s="326">
        <v>876</v>
      </c>
      <c r="H36" s="326">
        <v>256</v>
      </c>
      <c r="I36" s="326">
        <v>10625</v>
      </c>
      <c r="J36" s="326">
        <v>207</v>
      </c>
      <c r="K36" s="326">
        <v>81</v>
      </c>
      <c r="L36" s="326">
        <v>0</v>
      </c>
      <c r="M36" s="327">
        <f t="shared" si="2"/>
        <v>532658</v>
      </c>
    </row>
    <row r="37" spans="1:13" s="268" customFormat="1" ht="14.25" customHeight="1">
      <c r="A37" s="328" t="s">
        <v>307</v>
      </c>
      <c r="B37" s="329" t="s">
        <v>308</v>
      </c>
      <c r="C37" s="313"/>
      <c r="D37" s="314">
        <f aca="true" t="shared" si="3" ref="D37:M37">SUM(D38:D41)</f>
        <v>1818</v>
      </c>
      <c r="E37" s="314">
        <f t="shared" si="3"/>
        <v>237</v>
      </c>
      <c r="F37" s="314">
        <f t="shared" si="3"/>
        <v>65</v>
      </c>
      <c r="G37" s="314">
        <f t="shared" si="3"/>
        <v>103</v>
      </c>
      <c r="H37" s="314">
        <f t="shared" si="3"/>
        <v>924</v>
      </c>
      <c r="I37" s="314">
        <f t="shared" si="3"/>
        <v>822</v>
      </c>
      <c r="J37" s="314">
        <f t="shared" si="3"/>
        <v>25</v>
      </c>
      <c r="K37" s="314">
        <f t="shared" si="3"/>
        <v>50</v>
      </c>
      <c r="L37" s="314">
        <f t="shared" si="3"/>
        <v>278</v>
      </c>
      <c r="M37" s="315">
        <f t="shared" si="3"/>
        <v>4322</v>
      </c>
    </row>
    <row r="38" spans="1:13" s="268" customFormat="1" ht="14.25" customHeight="1">
      <c r="A38" s="316" t="s">
        <v>261</v>
      </c>
      <c r="B38" s="330" t="s">
        <v>65</v>
      </c>
      <c r="C38" s="322" t="s">
        <v>309</v>
      </c>
      <c r="D38" s="323">
        <v>0</v>
      </c>
      <c r="E38" s="323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4">
        <f>SUM(D38:L38)</f>
        <v>0</v>
      </c>
    </row>
    <row r="39" spans="1:13" s="268" customFormat="1" ht="14.25" customHeight="1">
      <c r="A39" s="316" t="s">
        <v>262</v>
      </c>
      <c r="B39" s="330" t="s">
        <v>66</v>
      </c>
      <c r="C39" s="322" t="s">
        <v>310</v>
      </c>
      <c r="D39" s="323">
        <v>1818</v>
      </c>
      <c r="E39" s="323">
        <v>186</v>
      </c>
      <c r="F39" s="323">
        <v>0</v>
      </c>
      <c r="G39" s="323">
        <v>103</v>
      </c>
      <c r="H39" s="323">
        <v>42</v>
      </c>
      <c r="I39" s="323">
        <v>822</v>
      </c>
      <c r="J39" s="323">
        <v>0</v>
      </c>
      <c r="K39" s="323">
        <v>1</v>
      </c>
      <c r="L39" s="323">
        <v>49</v>
      </c>
      <c r="M39" s="324">
        <f>SUM(D39:L39)</f>
        <v>3021</v>
      </c>
    </row>
    <row r="40" spans="1:13" s="268" customFormat="1" ht="14.25" customHeight="1">
      <c r="A40" s="316" t="s">
        <v>264</v>
      </c>
      <c r="B40" s="330" t="s">
        <v>311</v>
      </c>
      <c r="C40" s="322" t="s">
        <v>312</v>
      </c>
      <c r="D40" s="323">
        <v>0</v>
      </c>
      <c r="E40" s="323">
        <v>0</v>
      </c>
      <c r="F40" s="323">
        <v>0</v>
      </c>
      <c r="G40" s="323">
        <v>0</v>
      </c>
      <c r="H40" s="323">
        <v>0</v>
      </c>
      <c r="I40" s="323">
        <v>0</v>
      </c>
      <c r="J40" s="323">
        <v>0</v>
      </c>
      <c r="K40" s="323">
        <v>0</v>
      </c>
      <c r="L40" s="323">
        <v>0</v>
      </c>
      <c r="M40" s="324">
        <f>SUM(D40:L40)</f>
        <v>0</v>
      </c>
    </row>
    <row r="41" spans="1:13" s="268" customFormat="1" ht="14.25" customHeight="1">
      <c r="A41" s="316" t="s">
        <v>265</v>
      </c>
      <c r="B41" s="330" t="s">
        <v>313</v>
      </c>
      <c r="C41" s="322" t="s">
        <v>314</v>
      </c>
      <c r="D41" s="323">
        <v>0</v>
      </c>
      <c r="E41" s="323">
        <v>51</v>
      </c>
      <c r="F41" s="323">
        <v>65</v>
      </c>
      <c r="G41" s="323">
        <v>0</v>
      </c>
      <c r="H41" s="323">
        <v>882</v>
      </c>
      <c r="I41" s="323">
        <v>0</v>
      </c>
      <c r="J41" s="323">
        <v>25</v>
      </c>
      <c r="K41" s="323">
        <v>49</v>
      </c>
      <c r="L41" s="323">
        <v>229</v>
      </c>
      <c r="M41" s="324">
        <f>SUM(D41:L41)</f>
        <v>1301</v>
      </c>
    </row>
    <row r="42" spans="1:13" s="268" customFormat="1" ht="38.25">
      <c r="A42" s="331" t="s">
        <v>315</v>
      </c>
      <c r="B42" s="332" t="s">
        <v>316</v>
      </c>
      <c r="C42" s="333"/>
      <c r="D42" s="314">
        <f aca="true" t="shared" si="4" ref="D42:M42">SUM(D43:D45)</f>
        <v>0</v>
      </c>
      <c r="E42" s="314">
        <f t="shared" si="4"/>
        <v>0</v>
      </c>
      <c r="F42" s="314">
        <f t="shared" si="4"/>
        <v>0</v>
      </c>
      <c r="G42" s="314">
        <f t="shared" si="4"/>
        <v>0</v>
      </c>
      <c r="H42" s="314">
        <f t="shared" si="4"/>
        <v>0</v>
      </c>
      <c r="I42" s="314">
        <f t="shared" si="4"/>
        <v>0</v>
      </c>
      <c r="J42" s="314">
        <f t="shared" si="4"/>
        <v>0</v>
      </c>
      <c r="K42" s="314">
        <f t="shared" si="4"/>
        <v>0</v>
      </c>
      <c r="L42" s="314">
        <f t="shared" si="4"/>
        <v>0</v>
      </c>
      <c r="M42" s="315">
        <f t="shared" si="4"/>
        <v>0</v>
      </c>
    </row>
    <row r="43" spans="1:13" s="268" customFormat="1" ht="14.25" customHeight="1">
      <c r="A43" s="316" t="s">
        <v>260</v>
      </c>
      <c r="B43" s="330" t="s">
        <v>317</v>
      </c>
      <c r="C43" s="322" t="s">
        <v>318</v>
      </c>
      <c r="D43" s="323">
        <v>0</v>
      </c>
      <c r="E43" s="323">
        <v>0</v>
      </c>
      <c r="F43" s="323">
        <v>0</v>
      </c>
      <c r="G43" s="323">
        <v>0</v>
      </c>
      <c r="H43" s="323">
        <v>0</v>
      </c>
      <c r="I43" s="323">
        <v>0</v>
      </c>
      <c r="J43" s="323">
        <v>0</v>
      </c>
      <c r="K43" s="323">
        <v>0</v>
      </c>
      <c r="L43" s="323">
        <v>0</v>
      </c>
      <c r="M43" s="324">
        <f>SUM(D43:L43)</f>
        <v>0</v>
      </c>
    </row>
    <row r="44" spans="1:13" s="268" customFormat="1" ht="14.25" customHeight="1">
      <c r="A44" s="316" t="s">
        <v>261</v>
      </c>
      <c r="B44" s="330" t="s">
        <v>319</v>
      </c>
      <c r="C44" s="322" t="s">
        <v>320</v>
      </c>
      <c r="D44" s="323">
        <v>0</v>
      </c>
      <c r="E44" s="323">
        <v>0</v>
      </c>
      <c r="F44" s="323">
        <v>0</v>
      </c>
      <c r="G44" s="323">
        <v>0</v>
      </c>
      <c r="H44" s="323">
        <v>0</v>
      </c>
      <c r="I44" s="323">
        <v>0</v>
      </c>
      <c r="J44" s="323">
        <v>0</v>
      </c>
      <c r="K44" s="323">
        <v>0</v>
      </c>
      <c r="L44" s="323">
        <v>0</v>
      </c>
      <c r="M44" s="324">
        <f>SUM(D44:L44)</f>
        <v>0</v>
      </c>
    </row>
    <row r="45" spans="1:13" s="268" customFormat="1" ht="14.25" customHeight="1" thickBot="1">
      <c r="A45" s="334" t="s">
        <v>264</v>
      </c>
      <c r="B45" s="335" t="s">
        <v>321</v>
      </c>
      <c r="C45" s="336" t="s">
        <v>322</v>
      </c>
      <c r="D45" s="337">
        <v>0</v>
      </c>
      <c r="E45" s="337">
        <v>0</v>
      </c>
      <c r="F45" s="337">
        <v>0</v>
      </c>
      <c r="G45" s="337">
        <v>0</v>
      </c>
      <c r="H45" s="337">
        <v>0</v>
      </c>
      <c r="I45" s="337">
        <v>0</v>
      </c>
      <c r="J45" s="337">
        <v>0</v>
      </c>
      <c r="K45" s="337">
        <v>0</v>
      </c>
      <c r="L45" s="337">
        <v>0</v>
      </c>
      <c r="M45" s="338">
        <f>SUM(D45:L45)</f>
        <v>0</v>
      </c>
    </row>
    <row r="46" spans="1:13" s="268" customFormat="1" ht="12.75" customHeight="1">
      <c r="A46" s="339" t="s">
        <v>323</v>
      </c>
      <c r="B46" s="340" t="s">
        <v>324</v>
      </c>
      <c r="C46" s="307"/>
      <c r="D46" s="341">
        <f>SUM(D47,D70,D75)</f>
        <v>658763</v>
      </c>
      <c r="E46" s="341">
        <f aca="true" t="shared" si="5" ref="E46:M46">SUM(E47,E70,E75)</f>
        <v>119285</v>
      </c>
      <c r="F46" s="341">
        <f t="shared" si="5"/>
        <v>12721</v>
      </c>
      <c r="G46" s="341">
        <f t="shared" si="5"/>
        <v>161947</v>
      </c>
      <c r="H46" s="341">
        <f t="shared" si="5"/>
        <v>276186</v>
      </c>
      <c r="I46" s="341">
        <f t="shared" si="5"/>
        <v>14797</v>
      </c>
      <c r="J46" s="341">
        <f t="shared" si="5"/>
        <v>343686</v>
      </c>
      <c r="K46" s="341">
        <f t="shared" si="5"/>
        <v>6855</v>
      </c>
      <c r="L46" s="341">
        <f t="shared" si="5"/>
        <v>14455</v>
      </c>
      <c r="M46" s="342">
        <f t="shared" si="5"/>
        <v>1608695</v>
      </c>
    </row>
    <row r="47" spans="1:13" s="268" customFormat="1" ht="12.75" customHeight="1">
      <c r="A47" s="328" t="s">
        <v>258</v>
      </c>
      <c r="B47" s="329" t="s">
        <v>325</v>
      </c>
      <c r="C47" s="313"/>
      <c r="D47" s="343">
        <f>SUM(D48:D69)</f>
        <v>534944</v>
      </c>
      <c r="E47" s="343">
        <f aca="true" t="shared" si="6" ref="E47:M47">SUM(E48:E69)</f>
        <v>31797</v>
      </c>
      <c r="F47" s="343">
        <f t="shared" si="6"/>
        <v>228</v>
      </c>
      <c r="G47" s="343">
        <f t="shared" si="6"/>
        <v>78348</v>
      </c>
      <c r="H47" s="343">
        <f t="shared" si="6"/>
        <v>30242</v>
      </c>
      <c r="I47" s="343">
        <f t="shared" si="6"/>
        <v>0</v>
      </c>
      <c r="J47" s="343">
        <f t="shared" si="6"/>
        <v>73496</v>
      </c>
      <c r="K47" s="343">
        <f t="shared" si="6"/>
        <v>1198</v>
      </c>
      <c r="L47" s="343">
        <f t="shared" si="6"/>
        <v>2016</v>
      </c>
      <c r="M47" s="344">
        <f t="shared" si="6"/>
        <v>752269</v>
      </c>
    </row>
    <row r="48" spans="1:13" s="268" customFormat="1" ht="12.75" customHeight="1">
      <c r="A48" s="345" t="s">
        <v>260</v>
      </c>
      <c r="B48" s="346" t="s">
        <v>326</v>
      </c>
      <c r="C48" s="322" t="s">
        <v>77</v>
      </c>
      <c r="D48" s="377">
        <v>0</v>
      </c>
      <c r="E48" s="377">
        <v>14</v>
      </c>
      <c r="F48" s="377">
        <v>0</v>
      </c>
      <c r="G48" s="377">
        <v>0</v>
      </c>
      <c r="H48" s="377">
        <v>0</v>
      </c>
      <c r="I48" s="377">
        <v>0</v>
      </c>
      <c r="J48" s="377">
        <v>0</v>
      </c>
      <c r="K48" s="377">
        <v>0</v>
      </c>
      <c r="L48" s="347">
        <v>0</v>
      </c>
      <c r="M48" s="348">
        <f aca="true" t="shared" si="7" ref="M48:M69">SUM(D48:L48)</f>
        <v>14</v>
      </c>
    </row>
    <row r="49" spans="1:13" s="268" customFormat="1" ht="12.75" customHeight="1">
      <c r="A49" s="345" t="s">
        <v>261</v>
      </c>
      <c r="B49" s="349" t="s">
        <v>327</v>
      </c>
      <c r="C49" s="322" t="s">
        <v>78</v>
      </c>
      <c r="D49" s="378">
        <v>3819</v>
      </c>
      <c r="E49" s="378">
        <v>914</v>
      </c>
      <c r="F49" s="378">
        <v>228</v>
      </c>
      <c r="G49" s="378">
        <v>883</v>
      </c>
      <c r="H49" s="378">
        <v>2087</v>
      </c>
      <c r="I49" s="378">
        <v>0</v>
      </c>
      <c r="J49" s="378">
        <v>0</v>
      </c>
      <c r="K49" s="378">
        <v>820</v>
      </c>
      <c r="L49" s="347">
        <v>995</v>
      </c>
      <c r="M49" s="350">
        <f t="shared" si="7"/>
        <v>9746</v>
      </c>
    </row>
    <row r="50" spans="1:13" s="268" customFormat="1" ht="12.75" customHeight="1">
      <c r="A50" s="345" t="s">
        <v>262</v>
      </c>
      <c r="B50" s="349" t="s">
        <v>328</v>
      </c>
      <c r="C50" s="322" t="s">
        <v>329</v>
      </c>
      <c r="D50" s="378">
        <v>0</v>
      </c>
      <c r="E50" s="378">
        <v>11990</v>
      </c>
      <c r="F50" s="378">
        <v>0</v>
      </c>
      <c r="G50" s="378">
        <v>0</v>
      </c>
      <c r="H50" s="378">
        <v>10498</v>
      </c>
      <c r="I50" s="378">
        <v>0</v>
      </c>
      <c r="J50" s="378">
        <v>0</v>
      </c>
      <c r="K50" s="378">
        <v>0</v>
      </c>
      <c r="L50" s="347">
        <v>0</v>
      </c>
      <c r="M50" s="350">
        <f t="shared" si="7"/>
        <v>22488</v>
      </c>
    </row>
    <row r="51" spans="1:13" s="268" customFormat="1" ht="12.75" customHeight="1">
      <c r="A51" s="345" t="s">
        <v>264</v>
      </c>
      <c r="B51" s="349" t="s">
        <v>330</v>
      </c>
      <c r="C51" s="322" t="s">
        <v>79</v>
      </c>
      <c r="D51" s="378">
        <v>0</v>
      </c>
      <c r="E51" s="378">
        <v>0</v>
      </c>
      <c r="F51" s="378">
        <v>0</v>
      </c>
      <c r="G51" s="378">
        <v>0</v>
      </c>
      <c r="H51" s="378">
        <v>0</v>
      </c>
      <c r="I51" s="378">
        <v>0</v>
      </c>
      <c r="J51" s="378">
        <v>0</v>
      </c>
      <c r="K51" s="378">
        <v>0</v>
      </c>
      <c r="L51" s="347">
        <v>0</v>
      </c>
      <c r="M51" s="350">
        <f t="shared" si="7"/>
        <v>0</v>
      </c>
    </row>
    <row r="52" spans="1:13" s="268" customFormat="1" ht="12.75" customHeight="1">
      <c r="A52" s="345" t="s">
        <v>268</v>
      </c>
      <c r="B52" s="349" t="s">
        <v>331</v>
      </c>
      <c r="C52" s="322" t="s">
        <v>332</v>
      </c>
      <c r="D52" s="378">
        <v>0</v>
      </c>
      <c r="E52" s="378">
        <v>5</v>
      </c>
      <c r="F52" s="378">
        <v>0</v>
      </c>
      <c r="G52" s="378">
        <v>0</v>
      </c>
      <c r="H52" s="378">
        <v>0</v>
      </c>
      <c r="I52" s="378">
        <v>0</v>
      </c>
      <c r="J52" s="378">
        <v>0</v>
      </c>
      <c r="K52" s="378">
        <v>0</v>
      </c>
      <c r="L52" s="347">
        <v>0</v>
      </c>
      <c r="M52" s="350">
        <f t="shared" si="7"/>
        <v>5</v>
      </c>
    </row>
    <row r="53" spans="1:13" s="268" customFormat="1" ht="12.75" customHeight="1">
      <c r="A53" s="345" t="s">
        <v>269</v>
      </c>
      <c r="B53" s="349" t="s">
        <v>333</v>
      </c>
      <c r="C53" s="322" t="s">
        <v>80</v>
      </c>
      <c r="D53" s="378">
        <v>0</v>
      </c>
      <c r="E53" s="378">
        <v>0</v>
      </c>
      <c r="F53" s="378">
        <v>0</v>
      </c>
      <c r="G53" s="378">
        <v>0</v>
      </c>
      <c r="H53" s="378">
        <v>0</v>
      </c>
      <c r="I53" s="378">
        <v>0</v>
      </c>
      <c r="J53" s="378">
        <v>0</v>
      </c>
      <c r="K53" s="378">
        <v>0</v>
      </c>
      <c r="L53" s="347">
        <v>0</v>
      </c>
      <c r="M53" s="350">
        <f t="shared" si="7"/>
        <v>0</v>
      </c>
    </row>
    <row r="54" spans="1:13" s="268" customFormat="1" ht="12.75" customHeight="1">
      <c r="A54" s="345" t="s">
        <v>334</v>
      </c>
      <c r="B54" s="349" t="s">
        <v>335</v>
      </c>
      <c r="C54" s="322" t="s">
        <v>81</v>
      </c>
      <c r="D54" s="378">
        <v>0</v>
      </c>
      <c r="E54" s="378">
        <v>0</v>
      </c>
      <c r="F54" s="378">
        <v>0</v>
      </c>
      <c r="G54" s="378">
        <v>0</v>
      </c>
      <c r="H54" s="378">
        <v>0</v>
      </c>
      <c r="I54" s="378">
        <v>0</v>
      </c>
      <c r="J54" s="378">
        <v>0</v>
      </c>
      <c r="K54" s="378">
        <v>0</v>
      </c>
      <c r="L54" s="347">
        <v>0</v>
      </c>
      <c r="M54" s="350">
        <f t="shared" si="7"/>
        <v>0</v>
      </c>
    </row>
    <row r="55" spans="1:13" s="268" customFormat="1" ht="12.75" customHeight="1">
      <c r="A55" s="345" t="s">
        <v>270</v>
      </c>
      <c r="B55" s="349" t="s">
        <v>336</v>
      </c>
      <c r="C55" s="322" t="s">
        <v>82</v>
      </c>
      <c r="D55" s="378">
        <v>0</v>
      </c>
      <c r="E55" s="378">
        <v>34</v>
      </c>
      <c r="F55" s="378">
        <v>0</v>
      </c>
      <c r="G55" s="378">
        <v>0</v>
      </c>
      <c r="H55" s="378">
        <v>0</v>
      </c>
      <c r="I55" s="378">
        <v>0</v>
      </c>
      <c r="J55" s="378">
        <v>0</v>
      </c>
      <c r="K55" s="378">
        <v>0</v>
      </c>
      <c r="L55" s="347">
        <v>0</v>
      </c>
      <c r="M55" s="350">
        <f t="shared" si="7"/>
        <v>34</v>
      </c>
    </row>
    <row r="56" spans="1:13" s="268" customFormat="1" ht="12.75" customHeight="1">
      <c r="A56" s="345" t="s">
        <v>271</v>
      </c>
      <c r="B56" s="349" t="s">
        <v>337</v>
      </c>
      <c r="C56" s="322" t="s">
        <v>83</v>
      </c>
      <c r="D56" s="378">
        <v>0</v>
      </c>
      <c r="E56" s="378">
        <v>0</v>
      </c>
      <c r="F56" s="378">
        <v>0</v>
      </c>
      <c r="G56" s="378">
        <v>0</v>
      </c>
      <c r="H56" s="378">
        <v>0</v>
      </c>
      <c r="I56" s="378">
        <v>0</v>
      </c>
      <c r="J56" s="378">
        <v>0</v>
      </c>
      <c r="K56" s="378">
        <v>0</v>
      </c>
      <c r="L56" s="347">
        <v>0</v>
      </c>
      <c r="M56" s="350">
        <f t="shared" si="7"/>
        <v>0</v>
      </c>
    </row>
    <row r="57" spans="1:13" s="268" customFormat="1" ht="12.75" customHeight="1">
      <c r="A57" s="345" t="s">
        <v>273</v>
      </c>
      <c r="B57" s="349" t="s">
        <v>85</v>
      </c>
      <c r="C57" s="322" t="s">
        <v>84</v>
      </c>
      <c r="D57" s="378">
        <v>0</v>
      </c>
      <c r="E57" s="378">
        <v>0</v>
      </c>
      <c r="F57" s="378">
        <v>0</v>
      </c>
      <c r="G57" s="378">
        <v>0</v>
      </c>
      <c r="H57" s="378">
        <v>0</v>
      </c>
      <c r="I57" s="378">
        <v>0</v>
      </c>
      <c r="J57" s="378">
        <v>0</v>
      </c>
      <c r="K57" s="378">
        <v>0</v>
      </c>
      <c r="L57" s="347">
        <v>0</v>
      </c>
      <c r="M57" s="350">
        <f t="shared" si="7"/>
        <v>0</v>
      </c>
    </row>
    <row r="58" spans="1:13" s="268" customFormat="1" ht="12.75" customHeight="1">
      <c r="A58" s="345" t="s">
        <v>274</v>
      </c>
      <c r="B58" s="349" t="s">
        <v>87</v>
      </c>
      <c r="C58" s="322" t="s">
        <v>86</v>
      </c>
      <c r="D58" s="378">
        <v>0</v>
      </c>
      <c r="E58" s="378">
        <v>0</v>
      </c>
      <c r="F58" s="378">
        <v>0</v>
      </c>
      <c r="G58" s="378">
        <v>0</v>
      </c>
      <c r="H58" s="378">
        <v>0</v>
      </c>
      <c r="I58" s="378">
        <v>0</v>
      </c>
      <c r="J58" s="378">
        <v>0</v>
      </c>
      <c r="K58" s="378">
        <v>0</v>
      </c>
      <c r="L58" s="347">
        <v>0</v>
      </c>
      <c r="M58" s="350">
        <f t="shared" si="7"/>
        <v>0</v>
      </c>
    </row>
    <row r="59" spans="1:13" s="268" customFormat="1" ht="12.75" customHeight="1">
      <c r="A59" s="345" t="s">
        <v>276</v>
      </c>
      <c r="B59" s="349" t="s">
        <v>89</v>
      </c>
      <c r="C59" s="322" t="s">
        <v>88</v>
      </c>
      <c r="D59" s="378">
        <v>0</v>
      </c>
      <c r="E59" s="378">
        <v>0</v>
      </c>
      <c r="F59" s="378">
        <v>0</v>
      </c>
      <c r="G59" s="378">
        <v>0</v>
      </c>
      <c r="H59" s="378">
        <v>0</v>
      </c>
      <c r="I59" s="378">
        <v>0</v>
      </c>
      <c r="J59" s="378">
        <v>0</v>
      </c>
      <c r="K59" s="378">
        <v>0</v>
      </c>
      <c r="L59" s="347">
        <v>0</v>
      </c>
      <c r="M59" s="350">
        <f t="shared" si="7"/>
        <v>0</v>
      </c>
    </row>
    <row r="60" spans="1:13" s="268" customFormat="1" ht="12.75" customHeight="1">
      <c r="A60" s="345" t="s">
        <v>277</v>
      </c>
      <c r="B60" s="349" t="s">
        <v>91</v>
      </c>
      <c r="C60" s="322" t="s">
        <v>90</v>
      </c>
      <c r="D60" s="378">
        <v>0</v>
      </c>
      <c r="E60" s="378">
        <v>0</v>
      </c>
      <c r="F60" s="378">
        <v>0</v>
      </c>
      <c r="G60" s="378">
        <v>0</v>
      </c>
      <c r="H60" s="378">
        <v>0</v>
      </c>
      <c r="I60" s="378">
        <v>0</v>
      </c>
      <c r="J60" s="378">
        <v>0</v>
      </c>
      <c r="K60" s="378">
        <v>0</v>
      </c>
      <c r="L60" s="347">
        <v>0</v>
      </c>
      <c r="M60" s="350">
        <f t="shared" si="7"/>
        <v>0</v>
      </c>
    </row>
    <row r="61" spans="1:13" s="268" customFormat="1" ht="12.75" customHeight="1">
      <c r="A61" s="345" t="s">
        <v>278</v>
      </c>
      <c r="B61" s="349" t="s">
        <v>61</v>
      </c>
      <c r="C61" s="322" t="s">
        <v>92</v>
      </c>
      <c r="D61" s="378">
        <v>0</v>
      </c>
      <c r="E61" s="378">
        <v>0</v>
      </c>
      <c r="F61" s="378">
        <v>0</v>
      </c>
      <c r="G61" s="378">
        <v>0</v>
      </c>
      <c r="H61" s="378">
        <v>16</v>
      </c>
      <c r="I61" s="378">
        <v>0</v>
      </c>
      <c r="J61" s="378">
        <v>0</v>
      </c>
      <c r="K61" s="378">
        <v>0</v>
      </c>
      <c r="L61" s="347">
        <v>0</v>
      </c>
      <c r="M61" s="350">
        <f t="shared" si="7"/>
        <v>16</v>
      </c>
    </row>
    <row r="62" spans="1:13" s="268" customFormat="1" ht="12.75" customHeight="1">
      <c r="A62" s="345" t="s">
        <v>338</v>
      </c>
      <c r="B62" s="349" t="s">
        <v>282</v>
      </c>
      <c r="C62" s="322" t="s">
        <v>93</v>
      </c>
      <c r="D62" s="378">
        <v>0</v>
      </c>
      <c r="E62" s="378">
        <v>0</v>
      </c>
      <c r="F62" s="378">
        <v>0</v>
      </c>
      <c r="G62" s="378">
        <v>0</v>
      </c>
      <c r="H62" s="378">
        <v>0</v>
      </c>
      <c r="I62" s="378">
        <v>0</v>
      </c>
      <c r="J62" s="378">
        <v>0</v>
      </c>
      <c r="K62" s="378">
        <v>0</v>
      </c>
      <c r="L62" s="347">
        <v>0</v>
      </c>
      <c r="M62" s="350">
        <f t="shared" si="7"/>
        <v>0</v>
      </c>
    </row>
    <row r="63" spans="1:13" s="268" customFormat="1" ht="12.75" customHeight="1">
      <c r="A63" s="345" t="s">
        <v>280</v>
      </c>
      <c r="B63" s="349" t="s">
        <v>339</v>
      </c>
      <c r="C63" s="322" t="s">
        <v>94</v>
      </c>
      <c r="D63" s="378">
        <v>0</v>
      </c>
      <c r="E63" s="378">
        <v>0</v>
      </c>
      <c r="F63" s="378">
        <v>0</v>
      </c>
      <c r="G63" s="378">
        <v>0</v>
      </c>
      <c r="H63" s="378">
        <v>0</v>
      </c>
      <c r="I63" s="378">
        <v>0</v>
      </c>
      <c r="J63" s="378">
        <v>0</v>
      </c>
      <c r="K63" s="378">
        <v>0</v>
      </c>
      <c r="L63" s="347">
        <v>0</v>
      </c>
      <c r="M63" s="350">
        <f t="shared" si="7"/>
        <v>0</v>
      </c>
    </row>
    <row r="64" spans="1:13" s="268" customFormat="1" ht="12.75" customHeight="1">
      <c r="A64" s="345" t="s">
        <v>281</v>
      </c>
      <c r="B64" s="349" t="s">
        <v>340</v>
      </c>
      <c r="C64" s="322" t="s">
        <v>95</v>
      </c>
      <c r="D64" s="378">
        <v>0</v>
      </c>
      <c r="E64" s="378">
        <v>0</v>
      </c>
      <c r="F64" s="378">
        <v>0</v>
      </c>
      <c r="G64" s="378">
        <v>0</v>
      </c>
      <c r="H64" s="378">
        <v>0</v>
      </c>
      <c r="I64" s="378">
        <v>0</v>
      </c>
      <c r="J64" s="378">
        <v>0</v>
      </c>
      <c r="K64" s="378">
        <v>0</v>
      </c>
      <c r="L64" s="347">
        <v>0</v>
      </c>
      <c r="M64" s="350">
        <f t="shared" si="7"/>
        <v>0</v>
      </c>
    </row>
    <row r="65" spans="1:13" s="268" customFormat="1" ht="12.75" customHeight="1">
      <c r="A65" s="345" t="s">
        <v>283</v>
      </c>
      <c r="B65" s="349" t="s">
        <v>341</v>
      </c>
      <c r="C65" s="322" t="s">
        <v>96</v>
      </c>
      <c r="D65" s="378">
        <v>0</v>
      </c>
      <c r="E65" s="378">
        <v>0</v>
      </c>
      <c r="F65" s="378">
        <v>0</v>
      </c>
      <c r="G65" s="378">
        <v>0</v>
      </c>
      <c r="H65" s="378">
        <v>0</v>
      </c>
      <c r="I65" s="378">
        <v>0</v>
      </c>
      <c r="J65" s="378">
        <v>0</v>
      </c>
      <c r="K65" s="378">
        <v>0</v>
      </c>
      <c r="L65" s="347">
        <v>0</v>
      </c>
      <c r="M65" s="350">
        <f t="shared" si="7"/>
        <v>0</v>
      </c>
    </row>
    <row r="66" spans="1:13" s="268" customFormat="1" ht="12.75" customHeight="1">
      <c r="A66" s="345" t="s">
        <v>284</v>
      </c>
      <c r="B66" s="349" t="s">
        <v>342</v>
      </c>
      <c r="C66" s="351" t="s">
        <v>343</v>
      </c>
      <c r="D66" s="378">
        <v>0</v>
      </c>
      <c r="E66" s="378">
        <v>0</v>
      </c>
      <c r="F66" s="378">
        <v>0</v>
      </c>
      <c r="G66" s="378">
        <v>6</v>
      </c>
      <c r="H66" s="378">
        <v>0</v>
      </c>
      <c r="I66" s="378">
        <v>0</v>
      </c>
      <c r="J66" s="378">
        <v>0</v>
      </c>
      <c r="K66" s="378">
        <v>0</v>
      </c>
      <c r="L66" s="347">
        <v>0</v>
      </c>
      <c r="M66" s="350">
        <f t="shared" si="7"/>
        <v>6</v>
      </c>
    </row>
    <row r="67" spans="1:13" s="268" customFormat="1" ht="12.75" customHeight="1">
      <c r="A67" s="345" t="s">
        <v>285</v>
      </c>
      <c r="B67" s="349" t="s">
        <v>344</v>
      </c>
      <c r="C67" s="352" t="s">
        <v>345</v>
      </c>
      <c r="D67" s="378">
        <v>0</v>
      </c>
      <c r="E67" s="378">
        <v>0</v>
      </c>
      <c r="F67" s="378">
        <v>0</v>
      </c>
      <c r="G67" s="378">
        <v>0</v>
      </c>
      <c r="H67" s="378">
        <v>0</v>
      </c>
      <c r="I67" s="378">
        <v>0</v>
      </c>
      <c r="J67" s="378">
        <v>0</v>
      </c>
      <c r="K67" s="378">
        <v>0</v>
      </c>
      <c r="L67" s="347">
        <v>0</v>
      </c>
      <c r="M67" s="350">
        <f t="shared" si="7"/>
        <v>0</v>
      </c>
    </row>
    <row r="68" spans="1:13" s="268" customFormat="1" ht="12.75" customHeight="1">
      <c r="A68" s="345" t="s">
        <v>287</v>
      </c>
      <c r="B68" s="349" t="s">
        <v>346</v>
      </c>
      <c r="C68" s="353" t="s">
        <v>347</v>
      </c>
      <c r="D68" s="378">
        <v>11419</v>
      </c>
      <c r="E68" s="378">
        <v>16127</v>
      </c>
      <c r="F68" s="378">
        <v>0</v>
      </c>
      <c r="G68" s="378">
        <v>71993</v>
      </c>
      <c r="H68" s="378">
        <v>16548</v>
      </c>
      <c r="I68" s="378">
        <v>0</v>
      </c>
      <c r="J68" s="378">
        <v>73479</v>
      </c>
      <c r="K68" s="378">
        <v>340</v>
      </c>
      <c r="L68" s="347">
        <v>0</v>
      </c>
      <c r="M68" s="350">
        <f t="shared" si="7"/>
        <v>189906</v>
      </c>
    </row>
    <row r="69" spans="1:13" s="268" customFormat="1" ht="12.75" customHeight="1">
      <c r="A69" s="345" t="s">
        <v>289</v>
      </c>
      <c r="B69" s="354" t="s">
        <v>348</v>
      </c>
      <c r="C69" s="355" t="s">
        <v>98</v>
      </c>
      <c r="D69" s="378">
        <v>519706</v>
      </c>
      <c r="E69" s="378">
        <v>2713</v>
      </c>
      <c r="F69" s="378">
        <v>0</v>
      </c>
      <c r="G69" s="378">
        <v>5466</v>
      </c>
      <c r="H69" s="378">
        <v>1093</v>
      </c>
      <c r="I69" s="378">
        <v>0</v>
      </c>
      <c r="J69" s="378">
        <v>17</v>
      </c>
      <c r="K69" s="378">
        <v>38</v>
      </c>
      <c r="L69" s="347">
        <v>1021</v>
      </c>
      <c r="M69" s="350">
        <f t="shared" si="7"/>
        <v>530054</v>
      </c>
    </row>
    <row r="70" spans="1:13" s="268" customFormat="1" ht="12.75" customHeight="1">
      <c r="A70" s="328" t="s">
        <v>307</v>
      </c>
      <c r="B70" s="329" t="s">
        <v>349</v>
      </c>
      <c r="C70" s="313"/>
      <c r="D70" s="343">
        <f aca="true" t="shared" si="8" ref="D70:M70">SUM(D71:D74)</f>
        <v>878</v>
      </c>
      <c r="E70" s="343">
        <f t="shared" si="8"/>
        <v>196</v>
      </c>
      <c r="F70" s="343">
        <f t="shared" si="8"/>
        <v>13</v>
      </c>
      <c r="G70" s="343">
        <f t="shared" si="8"/>
        <v>507</v>
      </c>
      <c r="H70" s="343">
        <f t="shared" si="8"/>
        <v>470</v>
      </c>
      <c r="I70" s="343">
        <f t="shared" si="8"/>
        <v>1604</v>
      </c>
      <c r="J70" s="343">
        <f t="shared" si="8"/>
        <v>80</v>
      </c>
      <c r="K70" s="343">
        <f t="shared" si="8"/>
        <v>1</v>
      </c>
      <c r="L70" s="569">
        <f t="shared" si="8"/>
        <v>15</v>
      </c>
      <c r="M70" s="344">
        <f t="shared" si="8"/>
        <v>3764</v>
      </c>
    </row>
    <row r="71" spans="1:13" s="268" customFormat="1" ht="12.75" customHeight="1">
      <c r="A71" s="345" t="s">
        <v>261</v>
      </c>
      <c r="B71" s="357" t="s">
        <v>65</v>
      </c>
      <c r="C71" s="322" t="s">
        <v>350</v>
      </c>
      <c r="D71" s="378">
        <v>378</v>
      </c>
      <c r="E71" s="378">
        <v>148</v>
      </c>
      <c r="F71" s="378">
        <v>13</v>
      </c>
      <c r="G71" s="378">
        <v>357</v>
      </c>
      <c r="H71" s="378">
        <v>461</v>
      </c>
      <c r="I71" s="378">
        <v>13</v>
      </c>
      <c r="J71" s="378">
        <v>80</v>
      </c>
      <c r="K71" s="378">
        <v>1</v>
      </c>
      <c r="L71" s="347">
        <v>2</v>
      </c>
      <c r="M71" s="350">
        <f>SUM(D71:L71)</f>
        <v>1453</v>
      </c>
    </row>
    <row r="72" spans="1:13" s="268" customFormat="1" ht="12.75" customHeight="1">
      <c r="A72" s="345" t="s">
        <v>262</v>
      </c>
      <c r="B72" s="357" t="s">
        <v>97</v>
      </c>
      <c r="C72" s="322" t="s">
        <v>351</v>
      </c>
      <c r="D72" s="378">
        <v>500</v>
      </c>
      <c r="E72" s="378">
        <v>48</v>
      </c>
      <c r="F72" s="378">
        <v>0</v>
      </c>
      <c r="G72" s="378">
        <v>7</v>
      </c>
      <c r="H72" s="378">
        <v>9</v>
      </c>
      <c r="I72" s="378">
        <v>1591</v>
      </c>
      <c r="J72" s="378">
        <v>0</v>
      </c>
      <c r="K72" s="378">
        <v>0</v>
      </c>
      <c r="L72" s="347">
        <v>13</v>
      </c>
      <c r="M72" s="350">
        <f>SUM(D72:L72)</f>
        <v>2168</v>
      </c>
    </row>
    <row r="73" spans="1:13" s="268" customFormat="1" ht="12.75" customHeight="1">
      <c r="A73" s="345" t="s">
        <v>264</v>
      </c>
      <c r="B73" s="357" t="s">
        <v>352</v>
      </c>
      <c r="C73" s="322" t="s">
        <v>353</v>
      </c>
      <c r="D73" s="378">
        <v>0</v>
      </c>
      <c r="E73" s="378">
        <v>0</v>
      </c>
      <c r="F73" s="378">
        <v>0</v>
      </c>
      <c r="G73" s="378">
        <v>0</v>
      </c>
      <c r="H73" s="378">
        <v>0</v>
      </c>
      <c r="I73" s="378">
        <v>0</v>
      </c>
      <c r="J73" s="378">
        <v>0</v>
      </c>
      <c r="K73" s="378">
        <v>0</v>
      </c>
      <c r="L73" s="347">
        <v>0</v>
      </c>
      <c r="M73" s="350">
        <f>SUM(D73:L73)</f>
        <v>0</v>
      </c>
    </row>
    <row r="74" spans="1:13" s="268" customFormat="1" ht="12.75" customHeight="1">
      <c r="A74" s="345" t="s">
        <v>266</v>
      </c>
      <c r="B74" s="357" t="s">
        <v>354</v>
      </c>
      <c r="C74" s="322" t="s">
        <v>355</v>
      </c>
      <c r="D74" s="380">
        <v>0</v>
      </c>
      <c r="E74" s="380">
        <v>0</v>
      </c>
      <c r="F74" s="380">
        <v>0</v>
      </c>
      <c r="G74" s="380">
        <v>143</v>
      </c>
      <c r="H74" s="380">
        <v>0</v>
      </c>
      <c r="I74" s="380">
        <v>0</v>
      </c>
      <c r="J74" s="380">
        <v>0</v>
      </c>
      <c r="K74" s="380">
        <v>0</v>
      </c>
      <c r="L74" s="347">
        <v>0</v>
      </c>
      <c r="M74" s="350">
        <f>SUM(D74:L74)</f>
        <v>143</v>
      </c>
    </row>
    <row r="75" spans="1:13" s="268" customFormat="1" ht="38.25">
      <c r="A75" s="331" t="s">
        <v>356</v>
      </c>
      <c r="B75" s="332" t="s">
        <v>357</v>
      </c>
      <c r="C75" s="333"/>
      <c r="D75" s="356">
        <f aca="true" t="shared" si="9" ref="D75:M75">SUM(D76:D79)</f>
        <v>122941</v>
      </c>
      <c r="E75" s="356">
        <f t="shared" si="9"/>
        <v>87292</v>
      </c>
      <c r="F75" s="356">
        <f t="shared" si="9"/>
        <v>12480</v>
      </c>
      <c r="G75" s="356">
        <f t="shared" si="9"/>
        <v>83092</v>
      </c>
      <c r="H75" s="356">
        <f t="shared" si="9"/>
        <v>245474</v>
      </c>
      <c r="I75" s="356">
        <f t="shared" si="9"/>
        <v>13193</v>
      </c>
      <c r="J75" s="356">
        <f t="shared" si="9"/>
        <v>270110</v>
      </c>
      <c r="K75" s="356">
        <f t="shared" si="9"/>
        <v>5656</v>
      </c>
      <c r="L75" s="356">
        <f t="shared" si="9"/>
        <v>12424</v>
      </c>
      <c r="M75" s="344">
        <f t="shared" si="9"/>
        <v>852662</v>
      </c>
    </row>
    <row r="76" spans="1:13" s="268" customFormat="1" ht="12.75" customHeight="1">
      <c r="A76" s="358" t="s">
        <v>260</v>
      </c>
      <c r="B76" s="359" t="s">
        <v>358</v>
      </c>
      <c r="C76" s="360" t="s">
        <v>359</v>
      </c>
      <c r="D76" s="572">
        <v>122941</v>
      </c>
      <c r="E76" s="572">
        <v>87292</v>
      </c>
      <c r="F76" s="572">
        <v>12481</v>
      </c>
      <c r="G76" s="572">
        <v>83092</v>
      </c>
      <c r="H76" s="572">
        <v>245474</v>
      </c>
      <c r="I76" s="572">
        <v>12546</v>
      </c>
      <c r="J76" s="572">
        <v>270110</v>
      </c>
      <c r="K76" s="572">
        <v>5656</v>
      </c>
      <c r="L76" s="573">
        <v>12424</v>
      </c>
      <c r="M76" s="350">
        <f>SUM(D76:L76)</f>
        <v>852016</v>
      </c>
    </row>
    <row r="77" spans="1:13" s="268" customFormat="1" ht="12.75" customHeight="1">
      <c r="A77" s="358" t="s">
        <v>261</v>
      </c>
      <c r="B77" s="359" t="s">
        <v>360</v>
      </c>
      <c r="C77" s="360" t="s">
        <v>361</v>
      </c>
      <c r="D77" s="378">
        <v>0</v>
      </c>
      <c r="E77" s="378">
        <v>0</v>
      </c>
      <c r="F77" s="378">
        <v>0</v>
      </c>
      <c r="G77" s="378">
        <v>0</v>
      </c>
      <c r="H77" s="378">
        <v>0</v>
      </c>
      <c r="I77" s="378">
        <v>0</v>
      </c>
      <c r="J77" s="378">
        <v>0</v>
      </c>
      <c r="K77" s="378">
        <v>0</v>
      </c>
      <c r="L77" s="347">
        <v>0</v>
      </c>
      <c r="M77" s="350">
        <f>SUM(D77:L77)</f>
        <v>0</v>
      </c>
    </row>
    <row r="78" spans="1:13" s="268" customFormat="1" ht="12.75" customHeight="1">
      <c r="A78" s="358" t="s">
        <v>262</v>
      </c>
      <c r="B78" s="359" t="s">
        <v>362</v>
      </c>
      <c r="C78" s="360" t="s">
        <v>363</v>
      </c>
      <c r="D78" s="378">
        <v>0</v>
      </c>
      <c r="E78" s="378">
        <v>0</v>
      </c>
      <c r="F78" s="378">
        <v>0</v>
      </c>
      <c r="G78" s="378">
        <v>0</v>
      </c>
      <c r="H78" s="378">
        <v>0</v>
      </c>
      <c r="I78" s="378">
        <v>0</v>
      </c>
      <c r="J78" s="378">
        <v>0</v>
      </c>
      <c r="K78" s="378">
        <v>0</v>
      </c>
      <c r="L78" s="347">
        <v>0</v>
      </c>
      <c r="M78" s="350">
        <f>SUM(D78:L78)</f>
        <v>0</v>
      </c>
    </row>
    <row r="79" spans="1:13" s="268" customFormat="1" ht="12.75" customHeight="1" thickBot="1">
      <c r="A79" s="358" t="s">
        <v>264</v>
      </c>
      <c r="B79" s="359" t="s">
        <v>364</v>
      </c>
      <c r="C79" s="360" t="s">
        <v>365</v>
      </c>
      <c r="D79" s="570">
        <v>0</v>
      </c>
      <c r="E79" s="570">
        <v>0</v>
      </c>
      <c r="F79" s="570">
        <v>-1</v>
      </c>
      <c r="G79" s="570">
        <v>0</v>
      </c>
      <c r="H79" s="570">
        <v>0</v>
      </c>
      <c r="I79" s="570">
        <v>647</v>
      </c>
      <c r="J79" s="570">
        <v>0</v>
      </c>
      <c r="K79" s="570">
        <v>0</v>
      </c>
      <c r="L79" s="347">
        <v>0</v>
      </c>
      <c r="M79" s="350">
        <f>SUM(D79:L79)</f>
        <v>646</v>
      </c>
    </row>
    <row r="80" spans="1:13" s="268" customFormat="1" ht="12.75" customHeight="1">
      <c r="A80" s="361" t="s">
        <v>366</v>
      </c>
      <c r="B80" s="362" t="s">
        <v>367</v>
      </c>
      <c r="C80" s="363"/>
      <c r="D80" s="364"/>
      <c r="E80" s="364"/>
      <c r="F80" s="364"/>
      <c r="G80" s="364"/>
      <c r="H80" s="364"/>
      <c r="I80" s="364"/>
      <c r="J80" s="364"/>
      <c r="K80" s="364"/>
      <c r="L80" s="364"/>
      <c r="M80" s="365"/>
    </row>
    <row r="81" spans="1:13" s="268" customFormat="1" ht="12.75" customHeight="1">
      <c r="A81" s="366" t="s">
        <v>260</v>
      </c>
      <c r="B81" s="367" t="s">
        <v>368</v>
      </c>
      <c r="C81" s="368" t="s">
        <v>369</v>
      </c>
      <c r="D81" s="369">
        <f aca="true" t="shared" si="10" ref="D81:M81">D46-D5</f>
        <v>4341</v>
      </c>
      <c r="E81" s="369">
        <f t="shared" si="10"/>
        <v>2326</v>
      </c>
      <c r="F81" s="369">
        <f t="shared" si="10"/>
        <v>428</v>
      </c>
      <c r="G81" s="369">
        <f t="shared" si="10"/>
        <v>854</v>
      </c>
      <c r="H81" s="369">
        <f t="shared" si="10"/>
        <v>-20001</v>
      </c>
      <c r="I81" s="369">
        <f t="shared" si="10"/>
        <v>1</v>
      </c>
      <c r="J81" s="369">
        <f t="shared" si="10"/>
        <v>267</v>
      </c>
      <c r="K81" s="369">
        <f t="shared" si="10"/>
        <v>311</v>
      </c>
      <c r="L81" s="369">
        <f t="shared" si="10"/>
        <v>0</v>
      </c>
      <c r="M81" s="370">
        <f t="shared" si="10"/>
        <v>-11473</v>
      </c>
    </row>
    <row r="82" spans="1:13" s="268" customFormat="1" ht="12.75" customHeight="1">
      <c r="A82" s="345" t="s">
        <v>261</v>
      </c>
      <c r="B82" s="359" t="s">
        <v>100</v>
      </c>
      <c r="C82" s="322" t="s">
        <v>99</v>
      </c>
      <c r="D82" s="377">
        <v>0</v>
      </c>
      <c r="E82" s="377">
        <v>1804</v>
      </c>
      <c r="F82" s="377">
        <v>0</v>
      </c>
      <c r="G82" s="377">
        <v>0</v>
      </c>
      <c r="H82" s="377">
        <v>338</v>
      </c>
      <c r="I82" s="377">
        <v>0</v>
      </c>
      <c r="J82" s="377">
        <v>0</v>
      </c>
      <c r="K82" s="377">
        <v>18</v>
      </c>
      <c r="L82" s="377">
        <v>0</v>
      </c>
      <c r="M82" s="348">
        <f>SUM(D82:L82)</f>
        <v>2160</v>
      </c>
    </row>
    <row r="83" spans="1:13" s="268" customFormat="1" ht="12.75" customHeight="1">
      <c r="A83" s="345" t="s">
        <v>262</v>
      </c>
      <c r="B83" s="359" t="s">
        <v>102</v>
      </c>
      <c r="C83" s="322" t="s">
        <v>101</v>
      </c>
      <c r="D83" s="380">
        <v>0</v>
      </c>
      <c r="E83" s="380">
        <v>0</v>
      </c>
      <c r="F83" s="380">
        <v>0</v>
      </c>
      <c r="G83" s="380">
        <v>0</v>
      </c>
      <c r="H83" s="380">
        <v>0</v>
      </c>
      <c r="I83" s="380">
        <v>0</v>
      </c>
      <c r="J83" s="380">
        <v>0</v>
      </c>
      <c r="K83" s="380">
        <v>146</v>
      </c>
      <c r="L83" s="380">
        <v>0</v>
      </c>
      <c r="M83" s="371">
        <f>SUM(D83:L83)</f>
        <v>146</v>
      </c>
    </row>
    <row r="84" spans="1:13" s="268" customFormat="1" ht="12.75" customHeight="1" thickBot="1">
      <c r="A84" s="372" t="s">
        <v>264</v>
      </c>
      <c r="B84" s="373" t="s">
        <v>370</v>
      </c>
      <c r="C84" s="374" t="s">
        <v>369</v>
      </c>
      <c r="D84" s="375">
        <f aca="true" t="shared" si="11" ref="D84:M84">D81-SUM(D82,D83)</f>
        <v>4341</v>
      </c>
      <c r="E84" s="375">
        <f t="shared" si="11"/>
        <v>522</v>
      </c>
      <c r="F84" s="375">
        <f t="shared" si="11"/>
        <v>428</v>
      </c>
      <c r="G84" s="375">
        <f t="shared" si="11"/>
        <v>854</v>
      </c>
      <c r="H84" s="375">
        <f t="shared" si="11"/>
        <v>-20339</v>
      </c>
      <c r="I84" s="375">
        <f t="shared" si="11"/>
        <v>1</v>
      </c>
      <c r="J84" s="375">
        <f t="shared" si="11"/>
        <v>267</v>
      </c>
      <c r="K84" s="375">
        <f t="shared" si="11"/>
        <v>147</v>
      </c>
      <c r="L84" s="375">
        <f t="shared" si="11"/>
        <v>0</v>
      </c>
      <c r="M84" s="376">
        <f t="shared" si="11"/>
        <v>-13779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84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5" sqref="G15"/>
    </sheetView>
  </sheetViews>
  <sheetFormatPr defaultColWidth="9.140625" defaultRowHeight="12.75"/>
  <cols>
    <col min="1" max="1" width="6.7109375" style="77" customWidth="1"/>
    <col min="2" max="2" width="43.00390625" style="77" customWidth="1"/>
    <col min="3" max="3" width="6.421875" style="77" bestFit="1" customWidth="1"/>
    <col min="4" max="7" width="7.28125" style="77" customWidth="1"/>
    <col min="8" max="8" width="8.28125" style="77" customWidth="1"/>
    <col min="9" max="10" width="7.28125" style="77" customWidth="1"/>
    <col min="11" max="16384" width="9.140625" style="77" customWidth="1"/>
  </cols>
  <sheetData>
    <row r="1" spans="1:9" ht="15.75">
      <c r="A1" s="72"/>
      <c r="B1" s="73"/>
      <c r="C1" s="74"/>
      <c r="D1" s="74"/>
      <c r="E1" s="75"/>
      <c r="F1" s="74"/>
      <c r="G1" s="74"/>
      <c r="H1" s="80" t="s">
        <v>186</v>
      </c>
      <c r="I1" s="76"/>
    </row>
    <row r="2" spans="1:9" ht="15.75">
      <c r="A2" s="78" t="s">
        <v>249</v>
      </c>
      <c r="B2" s="73"/>
      <c r="C2" s="73"/>
      <c r="D2" s="73"/>
      <c r="E2" s="75"/>
      <c r="F2" s="73"/>
      <c r="G2" s="73"/>
      <c r="H2" s="79"/>
      <c r="I2" s="79"/>
    </row>
    <row r="3" spans="1:10" ht="16.5" thickBot="1">
      <c r="A3" s="81"/>
      <c r="B3" s="81"/>
      <c r="C3" s="81"/>
      <c r="D3" s="81"/>
      <c r="E3" s="81"/>
      <c r="F3" s="81"/>
      <c r="G3" s="81"/>
      <c r="H3" s="82" t="s">
        <v>28</v>
      </c>
      <c r="I3" s="81"/>
      <c r="J3" s="81"/>
    </row>
    <row r="4" spans="1:8" s="268" customFormat="1" ht="18" customHeight="1" thickBot="1">
      <c r="A4" s="301" t="s">
        <v>253</v>
      </c>
      <c r="B4" s="301" t="s">
        <v>254</v>
      </c>
      <c r="C4" s="302" t="s">
        <v>29</v>
      </c>
      <c r="D4" s="303" t="s">
        <v>30</v>
      </c>
      <c r="E4" s="303" t="s">
        <v>179</v>
      </c>
      <c r="F4" s="303" t="s">
        <v>31</v>
      </c>
      <c r="G4" s="303" t="s">
        <v>215</v>
      </c>
      <c r="H4" s="304" t="s">
        <v>106</v>
      </c>
    </row>
    <row r="5" spans="1:8" s="310" customFormat="1" ht="14.25" customHeight="1">
      <c r="A5" s="305" t="s">
        <v>256</v>
      </c>
      <c r="B5" s="306" t="s">
        <v>257</v>
      </c>
      <c r="C5" s="307"/>
      <c r="D5" s="308">
        <f>SUM(D6,D37,D42)</f>
        <v>1295</v>
      </c>
      <c r="E5" s="308">
        <f>SUM(E6,E37,E42)</f>
        <v>1172</v>
      </c>
      <c r="F5" s="308">
        <f>SUM(F6,F37,F42)</f>
        <v>4567</v>
      </c>
      <c r="G5" s="308">
        <f>SUM(G6,G37,G42)</f>
        <v>64</v>
      </c>
      <c r="H5" s="309">
        <f>SUM(H6,H37,H42)</f>
        <v>7098</v>
      </c>
    </row>
    <row r="6" spans="1:8" s="310" customFormat="1" ht="14.25" customHeight="1">
      <c r="A6" s="311" t="s">
        <v>258</v>
      </c>
      <c r="B6" s="312" t="s">
        <v>259</v>
      </c>
      <c r="C6" s="313"/>
      <c r="D6" s="314">
        <f>SUM(D7:D36)</f>
        <v>1295</v>
      </c>
      <c r="E6" s="314">
        <f>SUM(E7:E36)</f>
        <v>1170</v>
      </c>
      <c r="F6" s="314">
        <f>SUM(F7:F36)</f>
        <v>4556</v>
      </c>
      <c r="G6" s="314">
        <f>SUM(G7:G36)</f>
        <v>64</v>
      </c>
      <c r="H6" s="315">
        <f>SUM(H7:H36)</f>
        <v>7085</v>
      </c>
    </row>
    <row r="7" spans="1:8" s="268" customFormat="1" ht="14.25" customHeight="1">
      <c r="A7" s="316" t="s">
        <v>260</v>
      </c>
      <c r="B7" s="317" t="s">
        <v>33</v>
      </c>
      <c r="C7" s="318" t="s">
        <v>32</v>
      </c>
      <c r="D7" s="319">
        <v>0</v>
      </c>
      <c r="E7" s="319">
        <v>279</v>
      </c>
      <c r="F7" s="319">
        <v>792</v>
      </c>
      <c r="G7" s="319">
        <v>3</v>
      </c>
      <c r="H7" s="320">
        <f aca="true" t="shared" si="0" ref="H7:H36">SUM(D7:G7)</f>
        <v>1074</v>
      </c>
    </row>
    <row r="8" spans="1:8" s="268" customFormat="1" ht="14.25" customHeight="1">
      <c r="A8" s="316" t="s">
        <v>261</v>
      </c>
      <c r="B8" s="321" t="s">
        <v>35</v>
      </c>
      <c r="C8" s="322" t="s">
        <v>34</v>
      </c>
      <c r="D8" s="323">
        <v>0</v>
      </c>
      <c r="E8" s="323">
        <v>15</v>
      </c>
      <c r="F8" s="323">
        <v>529</v>
      </c>
      <c r="G8" s="323">
        <v>0</v>
      </c>
      <c r="H8" s="324">
        <f t="shared" si="0"/>
        <v>544</v>
      </c>
    </row>
    <row r="9" spans="1:8" s="268" customFormat="1" ht="14.25" customHeight="1">
      <c r="A9" s="316" t="s">
        <v>262</v>
      </c>
      <c r="B9" s="321" t="s">
        <v>263</v>
      </c>
      <c r="C9" s="322" t="s">
        <v>36</v>
      </c>
      <c r="D9" s="323">
        <v>0</v>
      </c>
      <c r="E9" s="323">
        <v>0</v>
      </c>
      <c r="F9" s="323">
        <v>0</v>
      </c>
      <c r="G9" s="323">
        <v>0</v>
      </c>
      <c r="H9" s="324">
        <f t="shared" si="0"/>
        <v>0</v>
      </c>
    </row>
    <row r="10" spans="1:8" s="268" customFormat="1" ht="14.25" customHeight="1">
      <c r="A10" s="316" t="s">
        <v>264</v>
      </c>
      <c r="B10" s="321" t="s">
        <v>38</v>
      </c>
      <c r="C10" s="322" t="s">
        <v>37</v>
      </c>
      <c r="D10" s="323">
        <v>0</v>
      </c>
      <c r="E10" s="323">
        <v>112</v>
      </c>
      <c r="F10" s="323">
        <v>102</v>
      </c>
      <c r="G10" s="323">
        <v>0</v>
      </c>
      <c r="H10" s="324">
        <f t="shared" si="0"/>
        <v>214</v>
      </c>
    </row>
    <row r="11" spans="1:8" s="268" customFormat="1" ht="14.25" customHeight="1">
      <c r="A11" s="316" t="s">
        <v>265</v>
      </c>
      <c r="B11" s="321" t="s">
        <v>40</v>
      </c>
      <c r="C11" s="322" t="s">
        <v>39</v>
      </c>
      <c r="D11" s="323">
        <v>0</v>
      </c>
      <c r="E11" s="323">
        <v>23</v>
      </c>
      <c r="F11" s="323">
        <v>28</v>
      </c>
      <c r="G11" s="323">
        <v>0</v>
      </c>
      <c r="H11" s="324">
        <f t="shared" si="0"/>
        <v>51</v>
      </c>
    </row>
    <row r="12" spans="1:8" s="268" customFormat="1" ht="14.25" customHeight="1">
      <c r="A12" s="316" t="s">
        <v>266</v>
      </c>
      <c r="B12" s="321" t="s">
        <v>42</v>
      </c>
      <c r="C12" s="322" t="s">
        <v>41</v>
      </c>
      <c r="D12" s="323">
        <v>0</v>
      </c>
      <c r="E12" s="323">
        <v>0</v>
      </c>
      <c r="F12" s="323">
        <v>0</v>
      </c>
      <c r="G12" s="323">
        <v>0</v>
      </c>
      <c r="H12" s="324">
        <f t="shared" si="0"/>
        <v>0</v>
      </c>
    </row>
    <row r="13" spans="1:8" s="268" customFormat="1" ht="14.25" customHeight="1">
      <c r="A13" s="316" t="s">
        <v>267</v>
      </c>
      <c r="B13" s="321" t="s">
        <v>44</v>
      </c>
      <c r="C13" s="322" t="s">
        <v>43</v>
      </c>
      <c r="D13" s="323">
        <v>0</v>
      </c>
      <c r="E13" s="323">
        <v>0</v>
      </c>
      <c r="F13" s="323">
        <v>0</v>
      </c>
      <c r="G13" s="323">
        <v>4</v>
      </c>
      <c r="H13" s="324">
        <f t="shared" si="0"/>
        <v>4</v>
      </c>
    </row>
    <row r="14" spans="1:8" s="268" customFormat="1" ht="14.25" customHeight="1">
      <c r="A14" s="316" t="s">
        <v>268</v>
      </c>
      <c r="B14" s="321" t="s">
        <v>46</v>
      </c>
      <c r="C14" s="322" t="s">
        <v>45</v>
      </c>
      <c r="D14" s="323">
        <v>0</v>
      </c>
      <c r="E14" s="323">
        <v>131</v>
      </c>
      <c r="F14" s="323">
        <v>206</v>
      </c>
      <c r="G14" s="323">
        <v>5</v>
      </c>
      <c r="H14" s="324">
        <f t="shared" si="0"/>
        <v>342</v>
      </c>
    </row>
    <row r="15" spans="1:8" s="268" customFormat="1" ht="14.25" customHeight="1">
      <c r="A15" s="316" t="s">
        <v>269</v>
      </c>
      <c r="B15" s="321" t="s">
        <v>48</v>
      </c>
      <c r="C15" s="322" t="s">
        <v>47</v>
      </c>
      <c r="D15" s="323">
        <v>981</v>
      </c>
      <c r="E15" s="323">
        <v>415</v>
      </c>
      <c r="F15" s="323">
        <v>2126</v>
      </c>
      <c r="G15" s="323">
        <v>38</v>
      </c>
      <c r="H15" s="324">
        <f t="shared" si="0"/>
        <v>3560</v>
      </c>
    </row>
    <row r="16" spans="1:8" s="268" customFormat="1" ht="14.25" customHeight="1">
      <c r="A16" s="316" t="s">
        <v>270</v>
      </c>
      <c r="B16" s="321" t="s">
        <v>50</v>
      </c>
      <c r="C16" s="322" t="s">
        <v>49</v>
      </c>
      <c r="D16" s="323">
        <v>298</v>
      </c>
      <c r="E16" s="323">
        <v>141</v>
      </c>
      <c r="F16" s="323">
        <v>662</v>
      </c>
      <c r="G16" s="323">
        <v>13</v>
      </c>
      <c r="H16" s="324">
        <f t="shared" si="0"/>
        <v>1114</v>
      </c>
    </row>
    <row r="17" spans="1:8" s="268" customFormat="1" ht="14.25" customHeight="1">
      <c r="A17" s="316" t="s">
        <v>271</v>
      </c>
      <c r="B17" s="321" t="s">
        <v>272</v>
      </c>
      <c r="C17" s="322" t="s">
        <v>51</v>
      </c>
      <c r="D17" s="323">
        <v>0</v>
      </c>
      <c r="E17" s="323">
        <v>0</v>
      </c>
      <c r="F17" s="323">
        <v>0</v>
      </c>
      <c r="G17" s="323">
        <v>0</v>
      </c>
      <c r="H17" s="324">
        <f t="shared" si="0"/>
        <v>0</v>
      </c>
    </row>
    <row r="18" spans="1:8" s="268" customFormat="1" ht="14.25" customHeight="1">
      <c r="A18" s="316" t="s">
        <v>273</v>
      </c>
      <c r="B18" s="321" t="s">
        <v>53</v>
      </c>
      <c r="C18" s="322" t="s">
        <v>52</v>
      </c>
      <c r="D18" s="323">
        <v>14</v>
      </c>
      <c r="E18" s="323">
        <v>8</v>
      </c>
      <c r="F18" s="323">
        <v>40</v>
      </c>
      <c r="G18" s="323">
        <v>1</v>
      </c>
      <c r="H18" s="324">
        <f t="shared" si="0"/>
        <v>63</v>
      </c>
    </row>
    <row r="19" spans="1:8" s="268" customFormat="1" ht="14.25" customHeight="1">
      <c r="A19" s="316" t="s">
        <v>274</v>
      </c>
      <c r="B19" s="321" t="s">
        <v>275</v>
      </c>
      <c r="C19" s="322" t="s">
        <v>54</v>
      </c>
      <c r="D19" s="323">
        <v>0</v>
      </c>
      <c r="E19" s="323">
        <v>0</v>
      </c>
      <c r="F19" s="323">
        <v>10</v>
      </c>
      <c r="G19" s="323">
        <v>0</v>
      </c>
      <c r="H19" s="324">
        <f t="shared" si="0"/>
        <v>10</v>
      </c>
    </row>
    <row r="20" spans="1:8" s="268" customFormat="1" ht="14.25" customHeight="1">
      <c r="A20" s="316" t="s">
        <v>276</v>
      </c>
      <c r="B20" s="321" t="s">
        <v>56</v>
      </c>
      <c r="C20" s="322" t="s">
        <v>55</v>
      </c>
      <c r="D20" s="323">
        <v>0</v>
      </c>
      <c r="E20" s="323">
        <v>0</v>
      </c>
      <c r="F20" s="323">
        <v>6</v>
      </c>
      <c r="G20" s="323">
        <v>0</v>
      </c>
      <c r="H20" s="324">
        <f t="shared" si="0"/>
        <v>6</v>
      </c>
    </row>
    <row r="21" spans="1:8" s="268" customFormat="1" ht="14.25" customHeight="1">
      <c r="A21" s="316" t="s">
        <v>277</v>
      </c>
      <c r="B21" s="321" t="s">
        <v>58</v>
      </c>
      <c r="C21" s="322" t="s">
        <v>57</v>
      </c>
      <c r="D21" s="323">
        <v>2</v>
      </c>
      <c r="E21" s="323">
        <v>0</v>
      </c>
      <c r="F21" s="323">
        <v>18</v>
      </c>
      <c r="G21" s="323">
        <v>0</v>
      </c>
      <c r="H21" s="324">
        <f t="shared" si="0"/>
        <v>20</v>
      </c>
    </row>
    <row r="22" spans="1:8" s="268" customFormat="1" ht="14.25" customHeight="1">
      <c r="A22" s="316" t="s">
        <v>278</v>
      </c>
      <c r="B22" s="321" t="s">
        <v>279</v>
      </c>
      <c r="C22" s="322" t="s">
        <v>59</v>
      </c>
      <c r="D22" s="323">
        <v>0</v>
      </c>
      <c r="E22" s="323">
        <v>0</v>
      </c>
      <c r="F22" s="323">
        <v>1</v>
      </c>
      <c r="G22" s="323">
        <v>0</v>
      </c>
      <c r="H22" s="324">
        <f t="shared" si="0"/>
        <v>1</v>
      </c>
    </row>
    <row r="23" spans="1:8" s="268" customFormat="1" ht="14.25" customHeight="1">
      <c r="A23" s="316" t="s">
        <v>280</v>
      </c>
      <c r="B23" s="321" t="s">
        <v>61</v>
      </c>
      <c r="C23" s="322" t="s">
        <v>60</v>
      </c>
      <c r="D23" s="323">
        <v>0</v>
      </c>
      <c r="E23" s="323">
        <v>0</v>
      </c>
      <c r="F23" s="323">
        <v>0</v>
      </c>
      <c r="G23" s="323">
        <v>0</v>
      </c>
      <c r="H23" s="324">
        <f t="shared" si="0"/>
        <v>0</v>
      </c>
    </row>
    <row r="24" spans="1:8" s="268" customFormat="1" ht="14.25" customHeight="1">
      <c r="A24" s="316" t="s">
        <v>281</v>
      </c>
      <c r="B24" s="321" t="s">
        <v>282</v>
      </c>
      <c r="C24" s="322" t="s">
        <v>62</v>
      </c>
      <c r="D24" s="323">
        <v>0</v>
      </c>
      <c r="E24" s="323">
        <v>0</v>
      </c>
      <c r="F24" s="323">
        <v>0</v>
      </c>
      <c r="G24" s="323">
        <v>0</v>
      </c>
      <c r="H24" s="324">
        <f t="shared" si="0"/>
        <v>0</v>
      </c>
    </row>
    <row r="25" spans="1:8" s="268" customFormat="1" ht="14.25" customHeight="1">
      <c r="A25" s="316" t="s">
        <v>283</v>
      </c>
      <c r="B25" s="321" t="s">
        <v>67</v>
      </c>
      <c r="C25" s="322" t="s">
        <v>63</v>
      </c>
      <c r="D25" s="323">
        <v>0</v>
      </c>
      <c r="E25" s="323">
        <v>0</v>
      </c>
      <c r="F25" s="323">
        <v>0</v>
      </c>
      <c r="G25" s="323">
        <v>0</v>
      </c>
      <c r="H25" s="324">
        <f t="shared" si="0"/>
        <v>0</v>
      </c>
    </row>
    <row r="26" spans="1:8" s="268" customFormat="1" ht="14.25" customHeight="1">
      <c r="A26" s="316" t="s">
        <v>284</v>
      </c>
      <c r="B26" s="321" t="s">
        <v>75</v>
      </c>
      <c r="C26" s="322" t="s">
        <v>64</v>
      </c>
      <c r="D26" s="323">
        <v>0</v>
      </c>
      <c r="E26" s="323">
        <v>0</v>
      </c>
      <c r="F26" s="323">
        <v>0</v>
      </c>
      <c r="G26" s="323">
        <v>0</v>
      </c>
      <c r="H26" s="324">
        <f t="shared" si="0"/>
        <v>0</v>
      </c>
    </row>
    <row r="27" spans="1:8" s="268" customFormat="1" ht="14.25" customHeight="1">
      <c r="A27" s="316" t="s">
        <v>285</v>
      </c>
      <c r="B27" s="321" t="s">
        <v>69</v>
      </c>
      <c r="C27" s="322" t="s">
        <v>286</v>
      </c>
      <c r="D27" s="323">
        <v>0</v>
      </c>
      <c r="E27" s="323">
        <v>0</v>
      </c>
      <c r="F27" s="323">
        <v>22</v>
      </c>
      <c r="G27" s="323">
        <v>0</v>
      </c>
      <c r="H27" s="324">
        <f t="shared" si="0"/>
        <v>22</v>
      </c>
    </row>
    <row r="28" spans="1:8" s="268" customFormat="1" ht="14.25" customHeight="1">
      <c r="A28" s="316" t="s">
        <v>287</v>
      </c>
      <c r="B28" s="321" t="s">
        <v>288</v>
      </c>
      <c r="C28" s="322" t="s">
        <v>68</v>
      </c>
      <c r="D28" s="323">
        <v>0</v>
      </c>
      <c r="E28" s="323">
        <v>0</v>
      </c>
      <c r="F28" s="323">
        <v>0</v>
      </c>
      <c r="G28" s="323">
        <v>0</v>
      </c>
      <c r="H28" s="324">
        <f t="shared" si="0"/>
        <v>0</v>
      </c>
    </row>
    <row r="29" spans="1:8" s="268" customFormat="1" ht="14.25" customHeight="1">
      <c r="A29" s="316" t="s">
        <v>289</v>
      </c>
      <c r="B29" s="321" t="s">
        <v>290</v>
      </c>
      <c r="C29" s="322" t="s">
        <v>71</v>
      </c>
      <c r="D29" s="323">
        <v>0</v>
      </c>
      <c r="E29" s="323">
        <v>44</v>
      </c>
      <c r="F29" s="323">
        <v>0</v>
      </c>
      <c r="G29" s="323">
        <v>0</v>
      </c>
      <c r="H29" s="324">
        <f t="shared" si="0"/>
        <v>44</v>
      </c>
    </row>
    <row r="30" spans="1:8" s="268" customFormat="1" ht="14.25" customHeight="1">
      <c r="A30" s="316" t="s">
        <v>291</v>
      </c>
      <c r="B30" s="321" t="s">
        <v>292</v>
      </c>
      <c r="C30" s="322" t="s">
        <v>72</v>
      </c>
      <c r="D30" s="323">
        <v>0</v>
      </c>
      <c r="E30" s="323">
        <v>0</v>
      </c>
      <c r="F30" s="323">
        <v>0</v>
      </c>
      <c r="G30" s="323">
        <v>0</v>
      </c>
      <c r="H30" s="324">
        <f t="shared" si="0"/>
        <v>0</v>
      </c>
    </row>
    <row r="31" spans="1:8" s="268" customFormat="1" ht="14.25" customHeight="1">
      <c r="A31" s="316" t="s">
        <v>293</v>
      </c>
      <c r="B31" s="321" t="s">
        <v>294</v>
      </c>
      <c r="C31" s="322" t="s">
        <v>73</v>
      </c>
      <c r="D31" s="323">
        <v>0</v>
      </c>
      <c r="E31" s="323">
        <v>0</v>
      </c>
      <c r="F31" s="323">
        <v>0</v>
      </c>
      <c r="G31" s="323">
        <v>0</v>
      </c>
      <c r="H31" s="324">
        <f t="shared" si="0"/>
        <v>0</v>
      </c>
    </row>
    <row r="32" spans="1:8" s="268" customFormat="1" ht="14.25" customHeight="1">
      <c r="A32" s="316" t="s">
        <v>295</v>
      </c>
      <c r="B32" s="321" t="s">
        <v>296</v>
      </c>
      <c r="C32" s="322" t="s">
        <v>74</v>
      </c>
      <c r="D32" s="323">
        <v>0</v>
      </c>
      <c r="E32" s="323">
        <v>0</v>
      </c>
      <c r="F32" s="323">
        <v>0</v>
      </c>
      <c r="G32" s="323">
        <v>0</v>
      </c>
      <c r="H32" s="324">
        <f t="shared" si="0"/>
        <v>0</v>
      </c>
    </row>
    <row r="33" spans="1:8" s="268" customFormat="1" ht="14.25" customHeight="1">
      <c r="A33" s="316" t="s">
        <v>297</v>
      </c>
      <c r="B33" s="321" t="s">
        <v>298</v>
      </c>
      <c r="C33" s="322" t="s">
        <v>299</v>
      </c>
      <c r="D33" s="323">
        <v>0</v>
      </c>
      <c r="E33" s="323">
        <v>0</v>
      </c>
      <c r="F33" s="323">
        <v>0</v>
      </c>
      <c r="G33" s="323">
        <v>0</v>
      </c>
      <c r="H33" s="324">
        <f t="shared" si="0"/>
        <v>0</v>
      </c>
    </row>
    <row r="34" spans="1:8" s="268" customFormat="1" ht="14.25" customHeight="1">
      <c r="A34" s="316" t="s">
        <v>300</v>
      </c>
      <c r="B34" s="321" t="s">
        <v>301</v>
      </c>
      <c r="C34" s="322" t="s">
        <v>76</v>
      </c>
      <c r="D34" s="323">
        <v>0</v>
      </c>
      <c r="E34" s="323">
        <v>-23</v>
      </c>
      <c r="F34" s="323">
        <v>0</v>
      </c>
      <c r="G34" s="323">
        <v>0</v>
      </c>
      <c r="H34" s="324">
        <f t="shared" si="0"/>
        <v>-23</v>
      </c>
    </row>
    <row r="35" spans="1:8" s="268" customFormat="1" ht="14.25" customHeight="1">
      <c r="A35" s="316" t="s">
        <v>302</v>
      </c>
      <c r="B35" s="321" t="s">
        <v>303</v>
      </c>
      <c r="C35" s="322" t="s">
        <v>304</v>
      </c>
      <c r="D35" s="323">
        <v>0</v>
      </c>
      <c r="E35" s="323">
        <v>23</v>
      </c>
      <c r="F35" s="323">
        <v>0</v>
      </c>
      <c r="G35" s="323">
        <v>0</v>
      </c>
      <c r="H35" s="324">
        <f t="shared" si="0"/>
        <v>23</v>
      </c>
    </row>
    <row r="36" spans="1:8" s="268" customFormat="1" ht="14.25" customHeight="1">
      <c r="A36" s="316" t="s">
        <v>305</v>
      </c>
      <c r="B36" s="325" t="s">
        <v>306</v>
      </c>
      <c r="C36" s="322" t="s">
        <v>70</v>
      </c>
      <c r="D36" s="326">
        <v>0</v>
      </c>
      <c r="E36" s="326">
        <v>2</v>
      </c>
      <c r="F36" s="326">
        <v>14</v>
      </c>
      <c r="G36" s="326">
        <v>0</v>
      </c>
      <c r="H36" s="327">
        <f t="shared" si="0"/>
        <v>16</v>
      </c>
    </row>
    <row r="37" spans="1:8" s="268" customFormat="1" ht="14.25" customHeight="1">
      <c r="A37" s="328" t="s">
        <v>307</v>
      </c>
      <c r="B37" s="329" t="s">
        <v>308</v>
      </c>
      <c r="C37" s="313"/>
      <c r="D37" s="314">
        <f>SUM(D38:D41)</f>
        <v>0</v>
      </c>
      <c r="E37" s="314">
        <f>SUM(E38:E41)</f>
        <v>2</v>
      </c>
      <c r="F37" s="314">
        <f>SUM(F38:F41)</f>
        <v>11</v>
      </c>
      <c r="G37" s="314">
        <f>SUM(G38:G41)</f>
        <v>0</v>
      </c>
      <c r="H37" s="315">
        <f>SUM(H38:H41)</f>
        <v>13</v>
      </c>
    </row>
    <row r="38" spans="1:8" s="268" customFormat="1" ht="14.25" customHeight="1">
      <c r="A38" s="316" t="s">
        <v>261</v>
      </c>
      <c r="B38" s="330" t="s">
        <v>65</v>
      </c>
      <c r="C38" s="322" t="s">
        <v>309</v>
      </c>
      <c r="D38" s="323">
        <v>0</v>
      </c>
      <c r="E38" s="323">
        <v>0</v>
      </c>
      <c r="F38" s="323">
        <v>0</v>
      </c>
      <c r="G38" s="323">
        <v>0</v>
      </c>
      <c r="H38" s="324">
        <f>SUM(D38:G38)</f>
        <v>0</v>
      </c>
    </row>
    <row r="39" spans="1:8" s="268" customFormat="1" ht="14.25" customHeight="1">
      <c r="A39" s="316" t="s">
        <v>262</v>
      </c>
      <c r="B39" s="330" t="s">
        <v>66</v>
      </c>
      <c r="C39" s="322" t="s">
        <v>310</v>
      </c>
      <c r="D39" s="323">
        <v>0</v>
      </c>
      <c r="E39" s="323">
        <v>0</v>
      </c>
      <c r="F39" s="323">
        <v>11</v>
      </c>
      <c r="G39" s="323">
        <v>0</v>
      </c>
      <c r="H39" s="324">
        <f>SUM(D39:G39)</f>
        <v>11</v>
      </c>
    </row>
    <row r="40" spans="1:8" s="268" customFormat="1" ht="14.25" customHeight="1">
      <c r="A40" s="316" t="s">
        <v>264</v>
      </c>
      <c r="B40" s="330" t="s">
        <v>311</v>
      </c>
      <c r="C40" s="322" t="s">
        <v>312</v>
      </c>
      <c r="D40" s="323">
        <v>0</v>
      </c>
      <c r="E40" s="323">
        <v>0</v>
      </c>
      <c r="F40" s="323">
        <v>0</v>
      </c>
      <c r="G40" s="323">
        <v>0</v>
      </c>
      <c r="H40" s="324">
        <f>SUM(D40:G40)</f>
        <v>0</v>
      </c>
    </row>
    <row r="41" spans="1:8" s="268" customFormat="1" ht="14.25" customHeight="1">
      <c r="A41" s="316" t="s">
        <v>265</v>
      </c>
      <c r="B41" s="330" t="s">
        <v>313</v>
      </c>
      <c r="C41" s="322" t="s">
        <v>314</v>
      </c>
      <c r="D41" s="323">
        <v>0</v>
      </c>
      <c r="E41" s="323">
        <v>2</v>
      </c>
      <c r="F41" s="323">
        <v>0</v>
      </c>
      <c r="G41" s="323">
        <v>0</v>
      </c>
      <c r="H41" s="324">
        <f>SUM(D41:G41)</f>
        <v>2</v>
      </c>
    </row>
    <row r="42" spans="1:8" s="268" customFormat="1" ht="38.25">
      <c r="A42" s="331" t="s">
        <v>315</v>
      </c>
      <c r="B42" s="332" t="s">
        <v>316</v>
      </c>
      <c r="C42" s="333"/>
      <c r="D42" s="314">
        <f>SUM(D43:D45)</f>
        <v>0</v>
      </c>
      <c r="E42" s="314">
        <f>SUM(E43:E45)</f>
        <v>0</v>
      </c>
      <c r="F42" s="314">
        <f>SUM(F43:F45)</f>
        <v>0</v>
      </c>
      <c r="G42" s="314">
        <f>SUM(G43:G45)</f>
        <v>0</v>
      </c>
      <c r="H42" s="315">
        <f>SUM(H43:H45)</f>
        <v>0</v>
      </c>
    </row>
    <row r="43" spans="1:8" s="268" customFormat="1" ht="14.25" customHeight="1">
      <c r="A43" s="316" t="s">
        <v>260</v>
      </c>
      <c r="B43" s="330" t="s">
        <v>317</v>
      </c>
      <c r="C43" s="322" t="s">
        <v>318</v>
      </c>
      <c r="D43" s="323">
        <v>0</v>
      </c>
      <c r="E43" s="323">
        <v>0</v>
      </c>
      <c r="F43" s="323">
        <v>0</v>
      </c>
      <c r="G43" s="323">
        <v>0</v>
      </c>
      <c r="H43" s="324">
        <f>SUM(D43:G43)</f>
        <v>0</v>
      </c>
    </row>
    <row r="44" spans="1:8" s="268" customFormat="1" ht="14.25" customHeight="1">
      <c r="A44" s="316" t="s">
        <v>261</v>
      </c>
      <c r="B44" s="330" t="s">
        <v>319</v>
      </c>
      <c r="C44" s="322" t="s">
        <v>320</v>
      </c>
      <c r="D44" s="323">
        <v>0</v>
      </c>
      <c r="E44" s="323">
        <v>0</v>
      </c>
      <c r="F44" s="323">
        <v>0</v>
      </c>
      <c r="G44" s="323">
        <v>0</v>
      </c>
      <c r="H44" s="324">
        <f>SUM(D44:G44)</f>
        <v>0</v>
      </c>
    </row>
    <row r="45" spans="1:8" s="268" customFormat="1" ht="14.25" customHeight="1" thickBot="1">
      <c r="A45" s="334" t="s">
        <v>264</v>
      </c>
      <c r="B45" s="335" t="s">
        <v>321</v>
      </c>
      <c r="C45" s="336" t="s">
        <v>322</v>
      </c>
      <c r="D45" s="337">
        <v>0</v>
      </c>
      <c r="E45" s="337">
        <v>0</v>
      </c>
      <c r="F45" s="337">
        <v>0</v>
      </c>
      <c r="G45" s="337">
        <v>0</v>
      </c>
      <c r="H45" s="338">
        <f>SUM(D45:G45)</f>
        <v>0</v>
      </c>
    </row>
    <row r="46" spans="1:8" s="268" customFormat="1" ht="12.75" customHeight="1">
      <c r="A46" s="339" t="s">
        <v>323</v>
      </c>
      <c r="B46" s="340" t="s">
        <v>324</v>
      </c>
      <c r="C46" s="307"/>
      <c r="D46" s="341">
        <f>SUM(D47,D70,D75)</f>
        <v>2404</v>
      </c>
      <c r="E46" s="341">
        <f>SUM(E47,E70,E75)</f>
        <v>1952</v>
      </c>
      <c r="F46" s="341">
        <f>SUM(F47,F70,F75)</f>
        <v>4443</v>
      </c>
      <c r="G46" s="341">
        <f>SUM(G47,G70,G75)</f>
        <v>178</v>
      </c>
      <c r="H46" s="342">
        <f>SUM(H47,H70,H75)</f>
        <v>8977</v>
      </c>
    </row>
    <row r="47" spans="1:8" s="268" customFormat="1" ht="12.75" customHeight="1">
      <c r="A47" s="328" t="s">
        <v>258</v>
      </c>
      <c r="B47" s="329" t="s">
        <v>325</v>
      </c>
      <c r="C47" s="313"/>
      <c r="D47" s="343">
        <f>SUM(D48:D69)</f>
        <v>2404</v>
      </c>
      <c r="E47" s="343">
        <f>SUM(E48:E69)</f>
        <v>1941</v>
      </c>
      <c r="F47" s="343">
        <f>SUM(F48:F69)</f>
        <v>4438</v>
      </c>
      <c r="G47" s="343">
        <f>SUM(G48:G69)</f>
        <v>178</v>
      </c>
      <c r="H47" s="344">
        <f>SUM(H48:H69)</f>
        <v>8961</v>
      </c>
    </row>
    <row r="48" spans="1:8" s="268" customFormat="1" ht="12.75" customHeight="1">
      <c r="A48" s="345" t="s">
        <v>260</v>
      </c>
      <c r="B48" s="346" t="s">
        <v>326</v>
      </c>
      <c r="C48" s="322" t="s">
        <v>77</v>
      </c>
      <c r="D48" s="377">
        <v>0</v>
      </c>
      <c r="E48" s="377">
        <v>937</v>
      </c>
      <c r="F48" s="377">
        <v>0</v>
      </c>
      <c r="G48" s="377">
        <v>0</v>
      </c>
      <c r="H48" s="348">
        <f aca="true" t="shared" si="1" ref="H48:H69">SUM(D48:G48)</f>
        <v>937</v>
      </c>
    </row>
    <row r="49" spans="1:8" s="268" customFormat="1" ht="12.75" customHeight="1">
      <c r="A49" s="345" t="s">
        <v>261</v>
      </c>
      <c r="B49" s="349" t="s">
        <v>327</v>
      </c>
      <c r="C49" s="322" t="s">
        <v>78</v>
      </c>
      <c r="D49" s="378">
        <v>2404</v>
      </c>
      <c r="E49" s="378">
        <v>805</v>
      </c>
      <c r="F49" s="378">
        <v>4204</v>
      </c>
      <c r="G49" s="378">
        <v>0</v>
      </c>
      <c r="H49" s="350">
        <f t="shared" si="1"/>
        <v>7413</v>
      </c>
    </row>
    <row r="50" spans="1:8" s="268" customFormat="1" ht="12.75" customHeight="1">
      <c r="A50" s="345" t="s">
        <v>262</v>
      </c>
      <c r="B50" s="349" t="s">
        <v>328</v>
      </c>
      <c r="C50" s="322" t="s">
        <v>329</v>
      </c>
      <c r="D50" s="378">
        <v>0</v>
      </c>
      <c r="E50" s="378">
        <v>0</v>
      </c>
      <c r="F50" s="378">
        <v>0</v>
      </c>
      <c r="G50" s="378">
        <v>0</v>
      </c>
      <c r="H50" s="350">
        <f t="shared" si="1"/>
        <v>0</v>
      </c>
    </row>
    <row r="51" spans="1:8" s="268" customFormat="1" ht="12.75" customHeight="1">
      <c r="A51" s="345" t="s">
        <v>264</v>
      </c>
      <c r="B51" s="349" t="s">
        <v>330</v>
      </c>
      <c r="C51" s="322" t="s">
        <v>79</v>
      </c>
      <c r="D51" s="378">
        <v>0</v>
      </c>
      <c r="E51" s="378">
        <v>162</v>
      </c>
      <c r="F51" s="378">
        <v>103</v>
      </c>
      <c r="G51" s="378">
        <v>0</v>
      </c>
      <c r="H51" s="350">
        <f t="shared" si="1"/>
        <v>265</v>
      </c>
    </row>
    <row r="52" spans="1:8" s="268" customFormat="1" ht="12.75" customHeight="1">
      <c r="A52" s="345" t="s">
        <v>268</v>
      </c>
      <c r="B52" s="349" t="s">
        <v>331</v>
      </c>
      <c r="C52" s="322" t="s">
        <v>332</v>
      </c>
      <c r="D52" s="378">
        <v>0</v>
      </c>
      <c r="E52" s="378">
        <v>0</v>
      </c>
      <c r="F52" s="378">
        <v>0</v>
      </c>
      <c r="G52" s="378">
        <v>0</v>
      </c>
      <c r="H52" s="350">
        <f t="shared" si="1"/>
        <v>0</v>
      </c>
    </row>
    <row r="53" spans="1:8" s="268" customFormat="1" ht="12.75" customHeight="1">
      <c r="A53" s="345" t="s">
        <v>269</v>
      </c>
      <c r="B53" s="349" t="s">
        <v>333</v>
      </c>
      <c r="C53" s="322" t="s">
        <v>80</v>
      </c>
      <c r="D53" s="378">
        <v>0</v>
      </c>
      <c r="E53" s="378">
        <v>0</v>
      </c>
      <c r="F53" s="378">
        <v>0</v>
      </c>
      <c r="G53" s="378">
        <v>0</v>
      </c>
      <c r="H53" s="350">
        <f t="shared" si="1"/>
        <v>0</v>
      </c>
    </row>
    <row r="54" spans="1:8" s="268" customFormat="1" ht="12.75" customHeight="1">
      <c r="A54" s="345" t="s">
        <v>334</v>
      </c>
      <c r="B54" s="349" t="s">
        <v>335</v>
      </c>
      <c r="C54" s="322" t="s">
        <v>81</v>
      </c>
      <c r="D54" s="378">
        <v>0</v>
      </c>
      <c r="E54" s="378">
        <v>0</v>
      </c>
      <c r="F54" s="378">
        <v>0</v>
      </c>
      <c r="G54" s="378">
        <v>0</v>
      </c>
      <c r="H54" s="350">
        <f t="shared" si="1"/>
        <v>0</v>
      </c>
    </row>
    <row r="55" spans="1:8" s="268" customFormat="1" ht="12.75" customHeight="1">
      <c r="A55" s="345" t="s">
        <v>270</v>
      </c>
      <c r="B55" s="349" t="s">
        <v>336</v>
      </c>
      <c r="C55" s="322" t="s">
        <v>82</v>
      </c>
      <c r="D55" s="378">
        <v>0</v>
      </c>
      <c r="E55" s="378">
        <v>37</v>
      </c>
      <c r="F55" s="378">
        <v>0</v>
      </c>
      <c r="G55" s="378">
        <v>0</v>
      </c>
      <c r="H55" s="350">
        <f t="shared" si="1"/>
        <v>37</v>
      </c>
    </row>
    <row r="56" spans="1:8" s="268" customFormat="1" ht="12.75" customHeight="1">
      <c r="A56" s="345" t="s">
        <v>271</v>
      </c>
      <c r="B56" s="349" t="s">
        <v>337</v>
      </c>
      <c r="C56" s="322" t="s">
        <v>83</v>
      </c>
      <c r="D56" s="378">
        <v>0</v>
      </c>
      <c r="E56" s="378">
        <v>0</v>
      </c>
      <c r="F56" s="378">
        <v>0</v>
      </c>
      <c r="G56" s="378">
        <v>0</v>
      </c>
      <c r="H56" s="350">
        <f t="shared" si="1"/>
        <v>0</v>
      </c>
    </row>
    <row r="57" spans="1:8" s="268" customFormat="1" ht="12.75" customHeight="1">
      <c r="A57" s="345" t="s">
        <v>273</v>
      </c>
      <c r="B57" s="349" t="s">
        <v>85</v>
      </c>
      <c r="C57" s="322" t="s">
        <v>84</v>
      </c>
      <c r="D57" s="378">
        <v>0</v>
      </c>
      <c r="E57" s="378">
        <v>0</v>
      </c>
      <c r="F57" s="378">
        <v>0</v>
      </c>
      <c r="G57" s="378">
        <v>0</v>
      </c>
      <c r="H57" s="350">
        <f t="shared" si="1"/>
        <v>0</v>
      </c>
    </row>
    <row r="58" spans="1:8" s="268" customFormat="1" ht="12.75" customHeight="1">
      <c r="A58" s="345" t="s">
        <v>274</v>
      </c>
      <c r="B58" s="349" t="s">
        <v>87</v>
      </c>
      <c r="C58" s="322" t="s">
        <v>86</v>
      </c>
      <c r="D58" s="378">
        <v>0</v>
      </c>
      <c r="E58" s="378">
        <v>0</v>
      </c>
      <c r="F58" s="378">
        <v>11</v>
      </c>
      <c r="G58" s="378">
        <v>0</v>
      </c>
      <c r="H58" s="350">
        <f t="shared" si="1"/>
        <v>11</v>
      </c>
    </row>
    <row r="59" spans="1:8" s="268" customFormat="1" ht="12.75" customHeight="1">
      <c r="A59" s="345" t="s">
        <v>276</v>
      </c>
      <c r="B59" s="349" t="s">
        <v>89</v>
      </c>
      <c r="C59" s="322" t="s">
        <v>88</v>
      </c>
      <c r="D59" s="378">
        <v>0</v>
      </c>
      <c r="E59" s="378">
        <v>0</v>
      </c>
      <c r="F59" s="378">
        <v>0</v>
      </c>
      <c r="G59" s="378">
        <v>0</v>
      </c>
      <c r="H59" s="350">
        <f t="shared" si="1"/>
        <v>0</v>
      </c>
    </row>
    <row r="60" spans="1:8" s="268" customFormat="1" ht="12.75" customHeight="1">
      <c r="A60" s="345" t="s">
        <v>277</v>
      </c>
      <c r="B60" s="349" t="s">
        <v>91</v>
      </c>
      <c r="C60" s="322" t="s">
        <v>90</v>
      </c>
      <c r="D60" s="378">
        <v>0</v>
      </c>
      <c r="E60" s="378">
        <v>0</v>
      </c>
      <c r="F60" s="378">
        <v>0</v>
      </c>
      <c r="G60" s="378">
        <v>0</v>
      </c>
      <c r="H60" s="350">
        <f t="shared" si="1"/>
        <v>0</v>
      </c>
    </row>
    <row r="61" spans="1:8" s="268" customFormat="1" ht="12.75" customHeight="1">
      <c r="A61" s="345" t="s">
        <v>278</v>
      </c>
      <c r="B61" s="349" t="s">
        <v>61</v>
      </c>
      <c r="C61" s="322" t="s">
        <v>92</v>
      </c>
      <c r="D61" s="378">
        <v>0</v>
      </c>
      <c r="E61" s="378">
        <v>0</v>
      </c>
      <c r="F61" s="378">
        <v>0</v>
      </c>
      <c r="G61" s="378">
        <v>0</v>
      </c>
      <c r="H61" s="350">
        <f t="shared" si="1"/>
        <v>0</v>
      </c>
    </row>
    <row r="62" spans="1:8" s="268" customFormat="1" ht="12.75" customHeight="1">
      <c r="A62" s="345" t="s">
        <v>338</v>
      </c>
      <c r="B62" s="349" t="s">
        <v>282</v>
      </c>
      <c r="C62" s="322" t="s">
        <v>93</v>
      </c>
      <c r="D62" s="378">
        <v>0</v>
      </c>
      <c r="E62" s="378">
        <v>0</v>
      </c>
      <c r="F62" s="378">
        <v>0</v>
      </c>
      <c r="G62" s="378">
        <v>0</v>
      </c>
      <c r="H62" s="350">
        <f t="shared" si="1"/>
        <v>0</v>
      </c>
    </row>
    <row r="63" spans="1:8" s="268" customFormat="1" ht="12.75" customHeight="1">
      <c r="A63" s="345" t="s">
        <v>280</v>
      </c>
      <c r="B63" s="349" t="s">
        <v>339</v>
      </c>
      <c r="C63" s="322" t="s">
        <v>94</v>
      </c>
      <c r="D63" s="378">
        <v>0</v>
      </c>
      <c r="E63" s="378">
        <v>0</v>
      </c>
      <c r="F63" s="378">
        <v>0</v>
      </c>
      <c r="G63" s="378">
        <v>0</v>
      </c>
      <c r="H63" s="350">
        <f t="shared" si="1"/>
        <v>0</v>
      </c>
    </row>
    <row r="64" spans="1:8" s="268" customFormat="1" ht="12.75" customHeight="1">
      <c r="A64" s="345" t="s">
        <v>281</v>
      </c>
      <c r="B64" s="349" t="s">
        <v>340</v>
      </c>
      <c r="C64" s="322" t="s">
        <v>95</v>
      </c>
      <c r="D64" s="378">
        <v>0</v>
      </c>
      <c r="E64" s="378">
        <v>0</v>
      </c>
      <c r="F64" s="378">
        <v>0</v>
      </c>
      <c r="G64" s="378">
        <v>0</v>
      </c>
      <c r="H64" s="350">
        <f t="shared" si="1"/>
        <v>0</v>
      </c>
    </row>
    <row r="65" spans="1:8" s="268" customFormat="1" ht="12.75" customHeight="1">
      <c r="A65" s="345" t="s">
        <v>283</v>
      </c>
      <c r="B65" s="349" t="s">
        <v>341</v>
      </c>
      <c r="C65" s="322" t="s">
        <v>96</v>
      </c>
      <c r="D65" s="378">
        <v>0</v>
      </c>
      <c r="E65" s="378">
        <v>0</v>
      </c>
      <c r="F65" s="378">
        <v>0</v>
      </c>
      <c r="G65" s="378">
        <v>0</v>
      </c>
      <c r="H65" s="350">
        <f t="shared" si="1"/>
        <v>0</v>
      </c>
    </row>
    <row r="66" spans="1:8" s="268" customFormat="1" ht="12.75" customHeight="1">
      <c r="A66" s="345" t="s">
        <v>284</v>
      </c>
      <c r="B66" s="349" t="s">
        <v>342</v>
      </c>
      <c r="C66" s="351" t="s">
        <v>343</v>
      </c>
      <c r="D66" s="378">
        <v>0</v>
      </c>
      <c r="E66" s="378">
        <v>0</v>
      </c>
      <c r="F66" s="378">
        <v>0</v>
      </c>
      <c r="G66" s="378">
        <v>0</v>
      </c>
      <c r="H66" s="350">
        <f t="shared" si="1"/>
        <v>0</v>
      </c>
    </row>
    <row r="67" spans="1:8" s="268" customFormat="1" ht="12.75" customHeight="1">
      <c r="A67" s="345" t="s">
        <v>285</v>
      </c>
      <c r="B67" s="349" t="s">
        <v>344</v>
      </c>
      <c r="C67" s="352" t="s">
        <v>345</v>
      </c>
      <c r="D67" s="378">
        <v>0</v>
      </c>
      <c r="E67" s="378">
        <v>0</v>
      </c>
      <c r="F67" s="378">
        <v>0</v>
      </c>
      <c r="G67" s="378">
        <v>0</v>
      </c>
      <c r="H67" s="350">
        <f t="shared" si="1"/>
        <v>0</v>
      </c>
    </row>
    <row r="68" spans="1:8" s="268" customFormat="1" ht="12.75" customHeight="1">
      <c r="A68" s="345" t="s">
        <v>287</v>
      </c>
      <c r="B68" s="349" t="s">
        <v>346</v>
      </c>
      <c r="C68" s="353" t="s">
        <v>347</v>
      </c>
      <c r="D68" s="378">
        <v>0</v>
      </c>
      <c r="E68" s="378">
        <v>0</v>
      </c>
      <c r="F68" s="378">
        <v>0</v>
      </c>
      <c r="G68" s="378">
        <v>64</v>
      </c>
      <c r="H68" s="350">
        <f t="shared" si="1"/>
        <v>64</v>
      </c>
    </row>
    <row r="69" spans="1:8" s="268" customFormat="1" ht="12.75" customHeight="1">
      <c r="A69" s="345" t="s">
        <v>289</v>
      </c>
      <c r="B69" s="354" t="s">
        <v>348</v>
      </c>
      <c r="C69" s="355" t="s">
        <v>98</v>
      </c>
      <c r="D69" s="378">
        <v>0</v>
      </c>
      <c r="E69" s="378">
        <v>0</v>
      </c>
      <c r="F69" s="378">
        <v>120</v>
      </c>
      <c r="G69" s="378">
        <v>114</v>
      </c>
      <c r="H69" s="350">
        <f t="shared" si="1"/>
        <v>234</v>
      </c>
    </row>
    <row r="70" spans="1:8" s="268" customFormat="1" ht="12.75" customHeight="1">
      <c r="A70" s="328" t="s">
        <v>307</v>
      </c>
      <c r="B70" s="329" t="s">
        <v>349</v>
      </c>
      <c r="C70" s="313"/>
      <c r="D70" s="343">
        <f>SUM(D71:D74)</f>
        <v>0</v>
      </c>
      <c r="E70" s="343">
        <f>SUM(E71:E74)</f>
        <v>11</v>
      </c>
      <c r="F70" s="343">
        <f>SUM(F71:F74)</f>
        <v>5</v>
      </c>
      <c r="G70" s="343">
        <f>SUM(G71:G74)</f>
        <v>0</v>
      </c>
      <c r="H70" s="344">
        <f>SUM(H71:H74)</f>
        <v>16</v>
      </c>
    </row>
    <row r="71" spans="1:8" s="268" customFormat="1" ht="12.75" customHeight="1">
      <c r="A71" s="345" t="s">
        <v>261</v>
      </c>
      <c r="B71" s="357" t="s">
        <v>65</v>
      </c>
      <c r="C71" s="322" t="s">
        <v>350</v>
      </c>
      <c r="D71" s="378">
        <v>0</v>
      </c>
      <c r="E71" s="378">
        <v>11</v>
      </c>
      <c r="F71" s="378">
        <v>1</v>
      </c>
      <c r="G71" s="378">
        <v>0</v>
      </c>
      <c r="H71" s="350">
        <f>SUM(D71:G71)</f>
        <v>12</v>
      </c>
    </row>
    <row r="72" spans="1:8" s="268" customFormat="1" ht="12.75" customHeight="1">
      <c r="A72" s="345" t="s">
        <v>262</v>
      </c>
      <c r="B72" s="357" t="s">
        <v>97</v>
      </c>
      <c r="C72" s="322" t="s">
        <v>351</v>
      </c>
      <c r="D72" s="378">
        <v>0</v>
      </c>
      <c r="E72" s="378">
        <v>0</v>
      </c>
      <c r="F72" s="378">
        <v>4</v>
      </c>
      <c r="G72" s="378">
        <v>0</v>
      </c>
      <c r="H72" s="350">
        <f>SUM(D72:G72)</f>
        <v>4</v>
      </c>
    </row>
    <row r="73" spans="1:8" s="268" customFormat="1" ht="12.75" customHeight="1">
      <c r="A73" s="345" t="s">
        <v>264</v>
      </c>
      <c r="B73" s="357" t="s">
        <v>352</v>
      </c>
      <c r="C73" s="322" t="s">
        <v>353</v>
      </c>
      <c r="D73" s="378">
        <v>0</v>
      </c>
      <c r="E73" s="378">
        <v>0</v>
      </c>
      <c r="F73" s="378">
        <v>0</v>
      </c>
      <c r="G73" s="378">
        <v>0</v>
      </c>
      <c r="H73" s="350">
        <f>SUM(D73:G73)</f>
        <v>0</v>
      </c>
    </row>
    <row r="74" spans="1:8" s="268" customFormat="1" ht="12.75" customHeight="1">
      <c r="A74" s="345" t="s">
        <v>266</v>
      </c>
      <c r="B74" s="357" t="s">
        <v>354</v>
      </c>
      <c r="C74" s="322" t="s">
        <v>355</v>
      </c>
      <c r="D74" s="378">
        <v>0</v>
      </c>
      <c r="E74" s="378">
        <v>0</v>
      </c>
      <c r="F74" s="378">
        <v>0</v>
      </c>
      <c r="G74" s="378">
        <v>0</v>
      </c>
      <c r="H74" s="350">
        <f>SUM(D74:G74)</f>
        <v>0</v>
      </c>
    </row>
    <row r="75" spans="1:8" s="268" customFormat="1" ht="38.25">
      <c r="A75" s="331" t="s">
        <v>356</v>
      </c>
      <c r="B75" s="332" t="s">
        <v>357</v>
      </c>
      <c r="C75" s="333"/>
      <c r="D75" s="343">
        <f>SUM(D76:D79)</f>
        <v>0</v>
      </c>
      <c r="E75" s="343">
        <f>SUM(E76:E79)</f>
        <v>0</v>
      </c>
      <c r="F75" s="343">
        <f>SUM(F76:F79)</f>
        <v>0</v>
      </c>
      <c r="G75" s="343">
        <f>SUM(G76:G79)</f>
        <v>0</v>
      </c>
      <c r="H75" s="344">
        <f>SUM(H76:H79)</f>
        <v>0</v>
      </c>
    </row>
    <row r="76" spans="1:8" s="268" customFormat="1" ht="12.75" customHeight="1">
      <c r="A76" s="358" t="s">
        <v>260</v>
      </c>
      <c r="B76" s="359" t="s">
        <v>358</v>
      </c>
      <c r="C76" s="360" t="s">
        <v>359</v>
      </c>
      <c r="D76" s="378">
        <v>0</v>
      </c>
      <c r="E76" s="378">
        <v>0</v>
      </c>
      <c r="F76" s="378">
        <v>0</v>
      </c>
      <c r="G76" s="378">
        <v>0</v>
      </c>
      <c r="H76" s="350">
        <f>SUM(D76:G76)</f>
        <v>0</v>
      </c>
    </row>
    <row r="77" spans="1:8" s="268" customFormat="1" ht="12.75" customHeight="1">
      <c r="A77" s="358" t="s">
        <v>261</v>
      </c>
      <c r="B77" s="359" t="s">
        <v>360</v>
      </c>
      <c r="C77" s="360" t="s">
        <v>361</v>
      </c>
      <c r="D77" s="378">
        <v>0</v>
      </c>
      <c r="E77" s="378">
        <v>0</v>
      </c>
      <c r="F77" s="378">
        <v>0</v>
      </c>
      <c r="G77" s="378">
        <v>0</v>
      </c>
      <c r="H77" s="350">
        <f>SUM(D77:G77)</f>
        <v>0</v>
      </c>
    </row>
    <row r="78" spans="1:8" s="268" customFormat="1" ht="12.75" customHeight="1">
      <c r="A78" s="358" t="s">
        <v>262</v>
      </c>
      <c r="B78" s="359" t="s">
        <v>362</v>
      </c>
      <c r="C78" s="360" t="s">
        <v>363</v>
      </c>
      <c r="D78" s="378">
        <v>0</v>
      </c>
      <c r="E78" s="378">
        <v>0</v>
      </c>
      <c r="F78" s="378">
        <v>0</v>
      </c>
      <c r="G78" s="378">
        <v>0</v>
      </c>
      <c r="H78" s="350">
        <f>SUM(D78:G78)</f>
        <v>0</v>
      </c>
    </row>
    <row r="79" spans="1:8" s="268" customFormat="1" ht="12.75" customHeight="1" thickBot="1">
      <c r="A79" s="358" t="s">
        <v>264</v>
      </c>
      <c r="B79" s="359" t="s">
        <v>364</v>
      </c>
      <c r="C79" s="360" t="s">
        <v>365</v>
      </c>
      <c r="D79" s="378">
        <v>0</v>
      </c>
      <c r="E79" s="378">
        <v>0</v>
      </c>
      <c r="F79" s="378">
        <v>0</v>
      </c>
      <c r="G79" s="378">
        <v>0</v>
      </c>
      <c r="H79" s="350">
        <f>SUM(D79:G79)</f>
        <v>0</v>
      </c>
    </row>
    <row r="80" spans="1:8" s="268" customFormat="1" ht="12.75" customHeight="1">
      <c r="A80" s="361" t="s">
        <v>366</v>
      </c>
      <c r="B80" s="362" t="s">
        <v>367</v>
      </c>
      <c r="C80" s="363"/>
      <c r="D80" s="379"/>
      <c r="E80" s="379"/>
      <c r="F80" s="379"/>
      <c r="G80" s="379"/>
      <c r="H80" s="365"/>
    </row>
    <row r="81" spans="1:8" s="268" customFormat="1" ht="12.75" customHeight="1">
      <c r="A81" s="366" t="s">
        <v>260</v>
      </c>
      <c r="B81" s="367" t="s">
        <v>368</v>
      </c>
      <c r="C81" s="368" t="s">
        <v>369</v>
      </c>
      <c r="D81" s="369">
        <f>D46-D5</f>
        <v>1109</v>
      </c>
      <c r="E81" s="369">
        <f>E46-E5</f>
        <v>780</v>
      </c>
      <c r="F81" s="369">
        <f>F46-F5</f>
        <v>-124</v>
      </c>
      <c r="G81" s="369">
        <f>G46-G5</f>
        <v>114</v>
      </c>
      <c r="H81" s="370">
        <f>H46-H5</f>
        <v>1879</v>
      </c>
    </row>
    <row r="82" spans="1:8" s="268" customFormat="1" ht="12.75" customHeight="1">
      <c r="A82" s="345" t="s">
        <v>261</v>
      </c>
      <c r="B82" s="359" t="s">
        <v>100</v>
      </c>
      <c r="C82" s="322" t="s">
        <v>99</v>
      </c>
      <c r="D82" s="377">
        <v>0</v>
      </c>
      <c r="E82" s="377">
        <v>0</v>
      </c>
      <c r="F82" s="377">
        <v>0</v>
      </c>
      <c r="G82" s="377">
        <v>0</v>
      </c>
      <c r="H82" s="348">
        <f>SUM(D82:G82)</f>
        <v>0</v>
      </c>
    </row>
    <row r="83" spans="1:8" s="268" customFormat="1" ht="12.75" customHeight="1">
      <c r="A83" s="345" t="s">
        <v>262</v>
      </c>
      <c r="B83" s="359" t="s">
        <v>102</v>
      </c>
      <c r="C83" s="322" t="s">
        <v>101</v>
      </c>
      <c r="D83" s="380">
        <v>0</v>
      </c>
      <c r="E83" s="380">
        <v>0</v>
      </c>
      <c r="F83" s="380">
        <v>0</v>
      </c>
      <c r="G83" s="380">
        <v>0</v>
      </c>
      <c r="H83" s="371">
        <f>SUM(D83:G83)</f>
        <v>0</v>
      </c>
    </row>
    <row r="84" spans="1:8" s="268" customFormat="1" ht="12.75" customHeight="1" thickBot="1">
      <c r="A84" s="372" t="s">
        <v>264</v>
      </c>
      <c r="B84" s="373" t="s">
        <v>370</v>
      </c>
      <c r="C84" s="374" t="s">
        <v>369</v>
      </c>
      <c r="D84" s="375">
        <f>D81-SUM(D82,D83)</f>
        <v>1109</v>
      </c>
      <c r="E84" s="375">
        <f>E81-SUM(E82,E83)</f>
        <v>780</v>
      </c>
      <c r="F84" s="375">
        <f>F81-SUM(F82,F83)</f>
        <v>-124</v>
      </c>
      <c r="G84" s="375">
        <f>G81-SUM(G82,G83)</f>
        <v>114</v>
      </c>
      <c r="H84" s="376">
        <f>H81-SUM(H82,H83)</f>
        <v>1879</v>
      </c>
    </row>
  </sheetData>
  <sheetProtection/>
  <printOptions/>
  <pageMargins left="0.5905511811023623" right="0.5905511811023623" top="0.7874015748031497" bottom="0.3937007874015748" header="0.5118110236220472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avratova</dc:creator>
  <cp:keywords/>
  <dc:description/>
  <cp:lastModifiedBy>avratova</cp:lastModifiedBy>
  <cp:lastPrinted>2011-05-17T07:00:55Z</cp:lastPrinted>
  <dcterms:created xsi:type="dcterms:W3CDTF">2008-02-28T11:41:56Z</dcterms:created>
  <dcterms:modified xsi:type="dcterms:W3CDTF">2011-06-08T08:51:05Z</dcterms:modified>
  <cp:category/>
  <cp:version/>
  <cp:contentType/>
  <cp:contentStatus/>
</cp:coreProperties>
</file>