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70" windowHeight="8430" activeTab="0"/>
  </bookViews>
  <sheets>
    <sheet name="T1" sheetId="1" r:id="rId1"/>
    <sheet name="T2" sheetId="2" r:id="rId2"/>
    <sheet name="T3" sheetId="3" r:id="rId3"/>
    <sheet name="T3a" sheetId="4" r:id="rId4"/>
    <sheet name="T4" sheetId="5" r:id="rId5"/>
    <sheet name="Graf1" sheetId="6" r:id="rId6"/>
    <sheet name="Graf2" sheetId="7" r:id="rId7"/>
    <sheet name="Graf3" sheetId="8" r:id="rId8"/>
    <sheet name="data ke G nová" sheetId="9" state="hidden" r:id="rId9"/>
    <sheet name="List1" sheetId="10" r:id="rId10"/>
  </sheets>
  <externalReferences>
    <externalReference r:id="rId13"/>
  </externalReferences>
  <definedNames>
    <definedName name="AV" localSheetId="8">'[1]301-KPR'!#REF!</definedName>
    <definedName name="AV" localSheetId="2">'[1]301-KPR'!#REF!</definedName>
    <definedName name="AV">'[1]301-KPR'!#REF!</definedName>
    <definedName name="CBU" localSheetId="8">'[1]301-KPR'!#REF!</definedName>
    <definedName name="CBU" localSheetId="2">'[1]301-KPR'!#REF!</definedName>
    <definedName name="CBU">'[1]301-KPR'!#REF!</definedName>
    <definedName name="CSU" localSheetId="8">'[1]301-KPR'!#REF!</definedName>
    <definedName name="CSU" localSheetId="2">'[1]301-KPR'!#REF!</definedName>
    <definedName name="CSU">'[1]301-KPR'!#REF!</definedName>
    <definedName name="CUZK" localSheetId="8">'[1]301-KPR'!#REF!</definedName>
    <definedName name="CUZK" localSheetId="2">'[1]301-KPR'!#REF!</definedName>
    <definedName name="CUZK">'[1]301-KPR'!#REF!</definedName>
    <definedName name="GA" localSheetId="8">'[1]301-KPR'!#REF!</definedName>
    <definedName name="GA" localSheetId="2">'[1]301-KPR'!#REF!</definedName>
    <definedName name="GA">'[1]301-KPR'!#REF!</definedName>
    <definedName name="KPR" localSheetId="8">'[1]301-KPR'!#REF!</definedName>
    <definedName name="KPR" localSheetId="2">'[1]301-KPR'!#REF!</definedName>
    <definedName name="KPR">'[1]301-KPR'!#REF!</definedName>
    <definedName name="MDS" localSheetId="8">'[1]301-KPR'!#REF!</definedName>
    <definedName name="MDS" localSheetId="2">'[1]301-KPR'!#REF!</definedName>
    <definedName name="MDS">'[1]301-KPR'!#REF!</definedName>
    <definedName name="MK" localSheetId="8">'[1]301-KPR'!#REF!</definedName>
    <definedName name="MK" localSheetId="2">'[1]301-KPR'!#REF!</definedName>
    <definedName name="MK">'[1]301-KPR'!#REF!</definedName>
    <definedName name="MPO" localSheetId="8">'[1]301-KPR'!#REF!</definedName>
    <definedName name="MPO" localSheetId="2">'[1]301-KPR'!#REF!</definedName>
    <definedName name="MPO">'[1]301-KPR'!#REF!</definedName>
    <definedName name="MS" localSheetId="8">'[1]301-KPR'!#REF!</definedName>
    <definedName name="MS" localSheetId="2">'[1]301-KPR'!#REF!</definedName>
    <definedName name="MS">'[1]301-KPR'!#REF!</definedName>
    <definedName name="MSMT" localSheetId="8">'[1]301-KPR'!#REF!</definedName>
    <definedName name="MSMT" localSheetId="2">'[1]301-KPR'!#REF!</definedName>
    <definedName name="MSMT">'[1]301-KPR'!#REF!</definedName>
    <definedName name="MZdr" localSheetId="8">'[1]301-KPR'!#REF!</definedName>
    <definedName name="MZdr" localSheetId="2">'[1]301-KPR'!#REF!</definedName>
    <definedName name="MZdr">'[1]301-KPR'!#REF!</definedName>
    <definedName name="MZe" localSheetId="8">'[1]301-KPR'!#REF!</definedName>
    <definedName name="MZe" localSheetId="2">'[1]301-KPR'!#REF!</definedName>
    <definedName name="MZe">'[1]301-KPR'!#REF!</definedName>
    <definedName name="_xlnm.Print_Titles" localSheetId="3">'T3a'!$A:$A</definedName>
    <definedName name="NKU" localSheetId="8">'[1]301-KPR'!#REF!</definedName>
    <definedName name="NKU" localSheetId="2">'[1]301-KPR'!#REF!</definedName>
    <definedName name="NKU">'[1]301-KPR'!#REF!</definedName>
    <definedName name="_xlnm.Print_Area" localSheetId="4">'T4'!#REF!</definedName>
    <definedName name="RRTV" localSheetId="8">'[1]301-KPR'!#REF!</definedName>
    <definedName name="RRTV" localSheetId="2">'[1]301-KPR'!#REF!</definedName>
    <definedName name="RRTV">'[1]301-KPR'!#REF!</definedName>
    <definedName name="SSHR" localSheetId="8">'[1]301-KPR'!#REF!</definedName>
    <definedName name="SSHR" localSheetId="2">'[1]301-KPR'!#REF!</definedName>
    <definedName name="SSHR">'[1]301-KPR'!#REF!</definedName>
    <definedName name="SUJB" localSheetId="8">'[1]301-KPR'!#REF!</definedName>
    <definedName name="SUJB" localSheetId="2">'[1]301-KPR'!#REF!</definedName>
    <definedName name="SUJB">'[1]301-KPR'!#REF!</definedName>
    <definedName name="UOHS" localSheetId="8">'[1]301-KPR'!#REF!</definedName>
    <definedName name="UOHS" localSheetId="2">'[1]301-KPR'!#REF!</definedName>
    <definedName name="UOHS">'[1]301-KPR'!#REF!</definedName>
    <definedName name="UPV" localSheetId="8">'[1]301-KPR'!#REF!</definedName>
    <definedName name="UPV" localSheetId="2">'[1]301-KPR'!#REF!</definedName>
    <definedName name="UPV">'[1]301-KPR'!#REF!</definedName>
    <definedName name="US" localSheetId="8">'[1]301-KPR'!#REF!</definedName>
    <definedName name="US" localSheetId="2">'[1]301-KPR'!#REF!</definedName>
    <definedName name="US">'[1]301-KPR'!#REF!</definedName>
    <definedName name="USIS" localSheetId="8">'[1]301-KPR'!#REF!</definedName>
    <definedName name="USIS" localSheetId="2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<sst xmlns="http://schemas.openxmlformats.org/spreadsheetml/2006/main" count="516" uniqueCount="383">
  <si>
    <t xml:space="preserve">Číselné údaje ke grafům </t>
  </si>
  <si>
    <t>Ke grafu 1</t>
  </si>
  <si>
    <t>rok 2000</t>
  </si>
  <si>
    <t>rok 2001</t>
  </si>
  <si>
    <t>rok 2002</t>
  </si>
  <si>
    <t>rok 2003</t>
  </si>
  <si>
    <t>rok 2004</t>
  </si>
  <si>
    <t>Ke grafu 2</t>
  </si>
  <si>
    <t>rok 2006</t>
  </si>
  <si>
    <t>rok 2007</t>
  </si>
  <si>
    <t>Vysoké školy</t>
  </si>
  <si>
    <t>Celkem</t>
  </si>
  <si>
    <t>Ke grafu 3</t>
  </si>
  <si>
    <t>Ostatní výdaje</t>
  </si>
  <si>
    <t xml:space="preserve">Průměrný plat pedagogů v RegŠ </t>
  </si>
  <si>
    <t>rok 2008</t>
  </si>
  <si>
    <t>Výdaje kapitoly MŠMT celkem</t>
  </si>
  <si>
    <t>v mld.Kč</t>
  </si>
  <si>
    <t xml:space="preserve">rok 2005 </t>
  </si>
  <si>
    <t>Mládež a sport</t>
  </si>
  <si>
    <t xml:space="preserve">Vysoké školy </t>
  </si>
  <si>
    <t>Výdaje z rozpočtu EU na spolufin. projekty</t>
  </si>
  <si>
    <t>rok 2009</t>
  </si>
  <si>
    <t>Návrh rozpočtu na rok 2009</t>
  </si>
  <si>
    <t>v tis. Kč</t>
  </si>
  <si>
    <t>Kapitola 333 - MŠMT</t>
  </si>
  <si>
    <t>přesun 13 zam OSS do CZVV (OPRLZ)</t>
  </si>
  <si>
    <t>dorovnání FKSP u ČŚI, přesuny v OBV ústř. orgánu</t>
  </si>
  <si>
    <t>posílení sportovní reprezentace (VSC, ADV)</t>
  </si>
  <si>
    <t>převod 1 zaměstnance do úseku VaV (ÚIV)</t>
  </si>
  <si>
    <t>vnitřní přesuny ve společných úkolech</t>
  </si>
  <si>
    <t>přesun z OPŘO do mládeže (soutěž Česká hlavička)</t>
  </si>
  <si>
    <t>převod prostředků OP RLZ do OP VpK</t>
  </si>
  <si>
    <t>přesun 23 zam. z PO ÚSC do OSS pro CZVV (OP VpK)</t>
  </si>
  <si>
    <t>metodická změna - mezinár. konference, semináře</t>
  </si>
  <si>
    <t>snížení příjmů a výdajů o ekvivalent EU a EHP/Nors</t>
  </si>
  <si>
    <t>vnitřní přesuny v §§ STK</t>
  </si>
  <si>
    <t>přerozdělení v paragrafech PŘO</t>
  </si>
  <si>
    <t>dorovnání mzdového limitu ČŠI</t>
  </si>
  <si>
    <t>vyčlenění prostředků VaV na Eurostars</t>
  </si>
  <si>
    <t>vyloučení předsednictví 2008 od VPS ze základny</t>
  </si>
  <si>
    <t>přesuny - církevní školy, zahraniční studenti</t>
  </si>
  <si>
    <t>mzdový nárůst o 1,5%</t>
  </si>
  <si>
    <t>nárůst VaV dle Rady vlády mimo mzdový růst</t>
  </si>
  <si>
    <t>posílení RGŠ o 4,5 mld. Kč</t>
  </si>
  <si>
    <t>změna výdajů ISPROFIN</t>
  </si>
  <si>
    <t>vrácení nevyužitých prostředků na konference zpět</t>
  </si>
  <si>
    <t>změna příjmů - metodická změna + snížení</t>
  </si>
  <si>
    <t>vrácení prostředků OP VpK půjčených RGŠ zpět do OP</t>
  </si>
  <si>
    <t>systém výuky českého jazyka a zkoušek pro cizince</t>
  </si>
  <si>
    <t>posílení předsednictví o 26 225 tis. Kč</t>
  </si>
  <si>
    <t>snížení sazby sociálního pojistného o 1 %</t>
  </si>
  <si>
    <t>krácení rozpočtu do výše směrných čísel</t>
  </si>
  <si>
    <t>snížení počtu zaměstnanců o 3 %</t>
  </si>
  <si>
    <t>posílení CZVV na rozvojový program z RGŠ</t>
  </si>
  <si>
    <t>vrácení části prostředků za EHP/Norsko zpět OPŘO</t>
  </si>
  <si>
    <t>přerozdělení v rámci sportovní reprezentace</t>
  </si>
  <si>
    <t>přesun ve mzdových limitech RGŠ ÚSC</t>
  </si>
  <si>
    <t>úprava mzdových limitů(vklady a přísp. aj.)</t>
  </si>
  <si>
    <t>vyčlenění výdajů na údržbu pro st. správu</t>
  </si>
  <si>
    <t>přesun běžných a kapitálových výdajů na VŠ</t>
  </si>
  <si>
    <t>přesun zaměstnanců na OP VpK</t>
  </si>
  <si>
    <t>přesun 130 zaměstnanců z RGŠ do PŘO</t>
  </si>
  <si>
    <t>přesuny ve VaVpI</t>
  </si>
  <si>
    <t>převod zaměstnanců z PO na audit PAS</t>
  </si>
  <si>
    <t>změna krácení podle úpravy 11.</t>
  </si>
  <si>
    <t>zahraniční pomoc, předsednictví, kult.dědictví</t>
  </si>
  <si>
    <t>posílení příjmů a výdajů o ekvivalent EU</t>
  </si>
  <si>
    <t>poslílení VŠ a RGŠ dle vlády</t>
  </si>
  <si>
    <t>změny pro</t>
  </si>
  <si>
    <t>srovnatelná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</si>
  <si>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</si>
  <si>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</si>
  <si>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</si>
  <si>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</si>
  <si>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</si>
  <si>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</si>
  <si>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</si>
  <si>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</si>
  <si>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</si>
  <si>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</si>
  <si>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</si>
  <si>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</si>
  <si>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</si>
  <si>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</si>
  <si>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</si>
  <si>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</si>
  <si>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základnu</t>
  </si>
  <si>
    <t>základna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</si>
  <si>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</si>
  <si>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</si>
  <si>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</si>
  <si>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</si>
  <si>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</si>
  <si>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</si>
  <si>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</si>
  <si>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</si>
  <si>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</si>
  <si>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</si>
  <si>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</si>
  <si>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</si>
  <si>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</si>
  <si>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</si>
  <si>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</si>
  <si>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</si>
  <si>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</si>
  <si>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</si>
  <si>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</si>
  <si>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</si>
  <si>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</si>
  <si>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</si>
  <si>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</si>
  <si>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</si>
  <si>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</si>
  <si>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</si>
  <si>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</si>
  <si>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vlivy 2009</t>
  </si>
  <si>
    <t>S O U H R N N É    U K A Z A T E L E</t>
  </si>
  <si>
    <t xml:space="preserve">  Příjmy celkem</t>
  </si>
  <si>
    <t xml:space="preserve">  Výdaje celkem</t>
  </si>
  <si>
    <t>SPECIFICKÉ UKAZATELE -  PŘÍJMY CELKEM</t>
  </si>
  <si>
    <t xml:space="preserve">  Daňové příjmy</t>
  </si>
  <si>
    <t xml:space="preserve">  Nedaňové příjmy, kapitálové příjmy a přijaté transfery celkem</t>
  </si>
  <si>
    <t xml:space="preserve">      v tom: Příjmy z rozpočtu Evropské unie bez SZP - programovací období 2004-2006 celkem</t>
  </si>
  <si>
    <t xml:space="preserve">                  Příjmy z rozpočtu Evropské unie bez SZP - programovací období 2007-2013 celkem</t>
  </si>
  <si>
    <t xml:space="preserve">                  Příjmy z prostředků ostatních zahraničních programů</t>
  </si>
  <si>
    <t xml:space="preserve">                  Ostatní nedaňové příjmy, kapitálové příjmy a přijaté transfery celkem</t>
  </si>
  <si>
    <t>SPECIFICKÉ UKAZATELE -  VÝDAJE CELKEM</t>
  </si>
  <si>
    <t>věda a vysoké školy</t>
  </si>
  <si>
    <t xml:space="preserve">      v tom: vysoké školy</t>
  </si>
  <si>
    <t xml:space="preserve">                 výzkum a vývoj</t>
  </si>
  <si>
    <t>přímé výdaje regionálního školství</t>
  </si>
  <si>
    <t>přímé výdaje PŘO</t>
  </si>
  <si>
    <t>podpora činnosti v oblasti mládeže</t>
  </si>
  <si>
    <t>podpora činnosti v oblasti sportu</t>
  </si>
  <si>
    <t xml:space="preserve">         v tom: sportovní reprezentace bez programu 233510</t>
  </si>
  <si>
    <t xml:space="preserve">                    tělovýchova vč. programu 233510</t>
  </si>
  <si>
    <t>ostatní:</t>
  </si>
  <si>
    <t xml:space="preserve">           v tom: zahraniční rozvojová spolupráce</t>
  </si>
  <si>
    <t xml:space="preserve">                      mezinárodní konference členských zemí SICI</t>
  </si>
  <si>
    <t xml:space="preserve">                      mezinárodní konference zaměřená na problematiku ESF ve vzdělávání</t>
  </si>
  <si>
    <t xml:space="preserve">                      mezinárodní knference k OP VaVpI</t>
  </si>
  <si>
    <t xml:space="preserve">                      program podpory vzdělávání národnostních menšin a multikulturní výchova</t>
  </si>
  <si>
    <t xml:space="preserve">                      ostatní</t>
  </si>
  <si>
    <t>PRŮŘEZOVÉ UKAZATELE</t>
  </si>
  <si>
    <t xml:space="preserve">  Platy zaměstnanců a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</si>
  <si>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</si>
  <si>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</si>
  <si>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Platy zaměstnanců v pracovním poměru</t>
  </si>
  <si>
    <t>Výdaje na výzkum a vývoj včetně programů spolufinancovaných z prostředků EU celkem</t>
  </si>
  <si>
    <t xml:space="preserve">     v tom: ze státního rozpočtu celkem</t>
  </si>
  <si>
    <t xml:space="preserve">                v tom: institucionální výdaje celkem</t>
  </si>
  <si>
    <t xml:space="preserve">                           účelové výdaje celkem</t>
  </si>
  <si>
    <t xml:space="preserve">                 kryté příjmem z rozpočtu EU</t>
  </si>
  <si>
    <t>Národní program výzkumu</t>
  </si>
  <si>
    <t>Programy v působnosti poskytovatelů</t>
  </si>
  <si>
    <t>Veřejné zakázky</t>
  </si>
  <si>
    <t>Specifický výzkum na vysokých školách</t>
  </si>
  <si>
    <t>Mezinárodní spolupráce ve výzkumu a vývoji</t>
  </si>
  <si>
    <t>Zahraniční rozvojová spolupráce</t>
  </si>
  <si>
    <t>Program sociální prevence a prevence kriminality</t>
  </si>
  <si>
    <t>Program protidrgové politiky</t>
  </si>
  <si>
    <t>Podpora projektů integrace příslušníků romské komunity</t>
  </si>
  <si>
    <t>Zajištění přípravy na krizové situace podle zákona  č. 240/2000 Sb.</t>
  </si>
  <si>
    <t xml:space="preserve">      v tom: ESF OP RLZ ze státního rozpočtu</t>
  </si>
  <si>
    <t xml:space="preserve">                 ESF OP RLZ kryté příjmem z rozpočtu EU</t>
  </si>
  <si>
    <t xml:space="preserve">      v tom: ESF OP VpK ze státního rozpočtu</t>
  </si>
  <si>
    <t xml:space="preserve">                 ESF OP VpK kryté příjmem z prostředků EU</t>
  </si>
  <si>
    <t xml:space="preserve">                 ERDF OP VaVpI ze státního rozpočtu</t>
  </si>
  <si>
    <t xml:space="preserve">                 ERDF OP VaVpI kryté příjmem z prostředků EU</t>
  </si>
  <si>
    <t xml:space="preserve">                 ERDF OP TP ze státního rozpočtu</t>
  </si>
  <si>
    <t xml:space="preserve">                 ERDF OP TP z rozpočtu EU</t>
  </si>
  <si>
    <t xml:space="preserve">                 komunitární programy ze státního rozpočtu</t>
  </si>
  <si>
    <t xml:space="preserve">                 komunitární program z rozpočtu EU</t>
  </si>
  <si>
    <t xml:space="preserve">      v tom: EHP/Nosko ze státního rozpočtu</t>
  </si>
  <si>
    <t>Výdaje vedené v ISPROFIN celkem</t>
  </si>
  <si>
    <t>Rozpočet kapitoly 333 MŠMT na rok 2009</t>
  </si>
  <si>
    <t>zrušení mzdového limitu pro GG OP VpK v RGŠ</t>
  </si>
  <si>
    <t>změny dle PSP - posílení platů</t>
  </si>
  <si>
    <t>vnitřní přesuny ve spol. úkolech</t>
  </si>
  <si>
    <t>44.</t>
  </si>
  <si>
    <t>45.</t>
  </si>
  <si>
    <t>46.</t>
  </si>
  <si>
    <t>Schválený</t>
  </si>
  <si>
    <t>rozpočet 2009</t>
  </si>
  <si>
    <t>rozpočet 2008</t>
  </si>
  <si>
    <t>Souhrnné ukazatele</t>
  </si>
  <si>
    <r>
      <t>Příjmy celkem</t>
    </r>
    <r>
      <rPr>
        <sz val="10"/>
        <rFont val="Arial CE"/>
        <family val="2"/>
      </rPr>
      <t xml:space="preserve">    </t>
    </r>
  </si>
  <si>
    <t>Výdaje celkem</t>
  </si>
  <si>
    <t>Specifické ukazatele - příjmy</t>
  </si>
  <si>
    <r>
      <t xml:space="preserve">Daňové příjmy </t>
    </r>
    <r>
      <rPr>
        <vertAlign val="superscript"/>
        <sz val="10"/>
        <rFont val="Arial CE"/>
        <family val="0"/>
      </rPr>
      <t>5)</t>
    </r>
  </si>
  <si>
    <t>Nedaňové příjmy, kapitálové příjmy a přijaté transfery celkem</t>
  </si>
  <si>
    <t xml:space="preserve">           příjmy z prostředků finančních mechanismů</t>
  </si>
  <si>
    <t xml:space="preserve">           ostatní nedaňové příjmy, kapitálové příjmy a přijaté transfery celkem</t>
  </si>
  <si>
    <t>Specifické ukazatele - výdaje</t>
  </si>
  <si>
    <t>Věda a vysoké školy</t>
  </si>
  <si>
    <t>v tom: vysoké školy</t>
  </si>
  <si>
    <t xml:space="preserve">           výzkum a vývoj </t>
  </si>
  <si>
    <t>Výdaje regionálního školství a přímo řízených organizací</t>
  </si>
  <si>
    <t>Podpora činnosti v oblasti mládeže</t>
  </si>
  <si>
    <t xml:space="preserve">Podpora činnosti v oblasti sportu </t>
  </si>
  <si>
    <t>v tom: sportovní reprezentace bez programu 233510</t>
  </si>
  <si>
    <t xml:space="preserve">           tělovýchova včetně programu 233510 </t>
  </si>
  <si>
    <t>Výdaje na programy spolufinancované z rozpočtu EU celkem mimo VaV</t>
  </si>
  <si>
    <t xml:space="preserve">Ostatní: </t>
  </si>
  <si>
    <t>v tom: zahraniční rozvojová spolupráce</t>
  </si>
  <si>
    <t xml:space="preserve">           výdaje spojené s výkonem předsednictví ČR v Radě Evropské unie</t>
  </si>
  <si>
    <t xml:space="preserve">           program podpory vzdělávání národnostních menšin a multikulturní výchova</t>
  </si>
  <si>
    <t xml:space="preserve">           ostatní</t>
  </si>
  <si>
    <t>Průřezové ukazatele</t>
  </si>
  <si>
    <t xml:space="preserve">Platy zaměstnanců a ostatní platby za provedenou práci </t>
  </si>
  <si>
    <r>
      <t xml:space="preserve">Povinné pojistné placené zaměstnavatelem </t>
    </r>
    <r>
      <rPr>
        <vertAlign val="superscript"/>
        <sz val="10"/>
        <rFont val="Arial CE"/>
        <family val="2"/>
      </rPr>
      <t>1)</t>
    </r>
  </si>
  <si>
    <t>Převod fondu kulturních a sociálních potřeb</t>
  </si>
  <si>
    <r>
      <t>Platy zaměstnanců v pracovním poměru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  </t>
    </r>
  </si>
  <si>
    <r>
      <t xml:space="preserve">Výdaje na výzkum a vývoj včetně programů spolufinancovaných z prostředků zahraničních programů </t>
    </r>
    <r>
      <rPr>
        <vertAlign val="superscript"/>
        <sz val="10"/>
        <rFont val="Arial CE"/>
        <family val="0"/>
      </rPr>
      <t>2)</t>
    </r>
  </si>
  <si>
    <t xml:space="preserve">v tom: ze státního rozpočtu celkem  </t>
  </si>
  <si>
    <r>
      <t xml:space="preserve">           v tom: institucionální výdaje celkem </t>
    </r>
    <r>
      <rPr>
        <vertAlign val="superscript"/>
        <sz val="10"/>
        <rFont val="Arial CE"/>
        <family val="2"/>
      </rPr>
      <t>3)</t>
    </r>
  </si>
  <si>
    <r>
      <t xml:space="preserve">                      účelové výdaje celkem </t>
    </r>
    <r>
      <rPr>
        <vertAlign val="superscript"/>
        <sz val="10"/>
        <rFont val="Arial CE"/>
        <family val="2"/>
      </rPr>
      <t>3)</t>
    </r>
  </si>
  <si>
    <r>
      <t xml:space="preserve">           kryté příjmem z prostředků zahraničních programů </t>
    </r>
    <r>
      <rPr>
        <vertAlign val="superscript"/>
        <sz val="10"/>
        <rFont val="Arial CE"/>
        <family val="2"/>
      </rPr>
      <t>2)</t>
    </r>
  </si>
  <si>
    <r>
      <t xml:space="preserve">Národní program výzkumu </t>
    </r>
    <r>
      <rPr>
        <vertAlign val="superscript"/>
        <sz val="10"/>
        <rFont val="Arial CE"/>
        <family val="2"/>
      </rPr>
      <t>4)</t>
    </r>
    <r>
      <rPr>
        <sz val="10"/>
        <rFont val="Arial CE"/>
        <family val="0"/>
      </rPr>
      <t xml:space="preserve"> </t>
    </r>
  </si>
  <si>
    <r>
      <t xml:space="preserve">Programy v působnosti poskytovatelů </t>
    </r>
    <r>
      <rPr>
        <vertAlign val="superscript"/>
        <sz val="10"/>
        <rFont val="Arial CE"/>
        <family val="2"/>
      </rPr>
      <t>4)</t>
    </r>
  </si>
  <si>
    <r>
      <t xml:space="preserve">Veřejné zakázky </t>
    </r>
    <r>
      <rPr>
        <vertAlign val="superscript"/>
        <sz val="10"/>
        <rFont val="Arial CE"/>
        <family val="2"/>
      </rPr>
      <t>4)</t>
    </r>
  </si>
  <si>
    <r>
      <t xml:space="preserve">Specifický výzkum na vysokých školách </t>
    </r>
    <r>
      <rPr>
        <vertAlign val="superscript"/>
        <sz val="10"/>
        <rFont val="Arial CE"/>
        <family val="2"/>
      </rPr>
      <t>4)</t>
    </r>
  </si>
  <si>
    <r>
      <t xml:space="preserve">Mezinárodní spolupráce ve výzkumu a vývoji </t>
    </r>
    <r>
      <rPr>
        <vertAlign val="superscript"/>
        <sz val="10"/>
        <rFont val="Arial CE"/>
        <family val="2"/>
      </rPr>
      <t>4)</t>
    </r>
  </si>
  <si>
    <t>Program protidrogové politiky</t>
  </si>
  <si>
    <t>Zajištění přípravy na krizové situace podle zákona č. 240/2000 Sb.</t>
  </si>
  <si>
    <t xml:space="preserve">v tom: ze státního rozpočtu  </t>
  </si>
  <si>
    <t xml:space="preserve">           kryté příjmem z rozpočtu EU  </t>
  </si>
  <si>
    <t>Výdaje na společné projekty, které jsou zčásti financovány z prostředků finančních mechanismů</t>
  </si>
  <si>
    <t>v tom: ze státního rozpočtu</t>
  </si>
  <si>
    <t xml:space="preserve">           kryté příjmem z prostředků finančních mechanismů </t>
  </si>
  <si>
    <t>Výdaje na programy vedené v ISPROFIN celkem</t>
  </si>
  <si>
    <r>
      <t xml:space="preserve">1) </t>
    </r>
    <r>
      <rPr>
        <sz val="8"/>
        <rFont val="Arial CE"/>
        <family val="2"/>
      </rPr>
      <t>povinné pojistné na sociální zabezpečení a příspěvek na státní politiku zaměstnanosti a pojistné na veřejné zdravotní pojištění</t>
    </r>
  </si>
  <si>
    <r>
      <t xml:space="preserve">2) </t>
    </r>
    <r>
      <rPr>
        <sz val="8"/>
        <rFont val="Arial"/>
        <family val="2"/>
      </rPr>
      <t>z rozpočtu EU a z prostředků finančních mechanismů</t>
    </r>
  </si>
  <si>
    <r>
      <t>3)</t>
    </r>
    <r>
      <rPr>
        <sz val="8"/>
        <rFont val="Arial CE"/>
        <family val="2"/>
      </rPr>
      <t xml:space="preserve"> výdaje na výzkum a vývoj podle § 6 odst. 1 zákona č. 130/2002 Sb.</t>
    </r>
  </si>
  <si>
    <r>
      <t>4)</t>
    </r>
    <r>
      <rPr>
        <sz val="8"/>
        <rFont val="Arial CE"/>
        <family val="2"/>
      </rPr>
      <t xml:space="preserve"> výdaje na výzkum a vývoj podle § 6 odst. 2 zákona č. 130/2002 Sb.</t>
    </r>
  </si>
  <si>
    <r>
      <t xml:space="preserve">5) </t>
    </r>
    <r>
      <rPr>
        <sz val="8"/>
        <rFont val="Arial"/>
        <family val="2"/>
      </rPr>
      <t xml:space="preserve">bez příjmů z povinného pojistného na sociální zabezpečení a příspěvku na státní politiku zaměstnanosti </t>
    </r>
  </si>
  <si>
    <t>Závazné ukazatele kapitoly 333 MŠMT na rok 2009</t>
  </si>
  <si>
    <t>(ve struktuře dle zákona)</t>
  </si>
  <si>
    <t xml:space="preserve">Výdaje na programy spolufinancované z rozpočtu EU bez SZP - programovací období 2007 až 2013 celkem </t>
  </si>
  <si>
    <r>
      <t>v tom: příjmy z rozpočtu Evropské unie bez SZP - programovací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období 2004 až 2006 celkem</t>
    </r>
  </si>
  <si>
    <r>
      <t xml:space="preserve">           příjmy z rozpočtu Evropské unie bez SZP - programovací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období 2007 až 2013 celkem</t>
    </r>
  </si>
  <si>
    <t>převody z VPS</t>
  </si>
  <si>
    <t>EU ekvivalent</t>
  </si>
  <si>
    <t>EHP/Norsko ekvivalent</t>
  </si>
  <si>
    <t>posílení VŠ</t>
  </si>
  <si>
    <t>změny dle PSP</t>
  </si>
  <si>
    <t>Specifické ukazatele - příjmy celkem</t>
  </si>
  <si>
    <t>Specifické ukazatele - výdaje celkem</t>
  </si>
  <si>
    <t xml:space="preserve">                      ostatní:</t>
  </si>
  <si>
    <t>Platy zaměstnanců a ostatní platby za provedenou práci OSS</t>
  </si>
  <si>
    <t>Povinné pojistné placené zaměstnavatelem OSS</t>
  </si>
  <si>
    <t>Převod fondu kulturních a sociálních potřeb OSS</t>
  </si>
  <si>
    <t>Platy zaměstnanců v pracovním poměru</t>
  </si>
  <si>
    <t xml:space="preserve">      kryté příjmem z rozpočtu EU</t>
  </si>
  <si>
    <t xml:space="preserve">      v tom: ze státního rozpočtu</t>
  </si>
  <si>
    <t xml:space="preserve">                kryté příjmem z prostředků EU</t>
  </si>
  <si>
    <t>(změny proti srovnatelné základně z roku 2008)</t>
  </si>
  <si>
    <t>(postupný vývoj ukazatelů při tvorbě rozpočtu)</t>
  </si>
  <si>
    <t>Vybrané ukazatele kapitoly MŠMT</t>
  </si>
  <si>
    <t>Srovnatelná základna z r. 2008 pro rok 2009 bez ekvivalentu EU  z r. 2008</t>
  </si>
  <si>
    <t>Vlivy na srovnatelnou základnu k návrhu rozpočtu na rok 2009 vč. ekvivalentu EU a bez zahr.pomoci a kulturního dědictví</t>
  </si>
  <si>
    <t xml:space="preserve">                                                                                            (v %)</t>
  </si>
  <si>
    <t>x</t>
  </si>
  <si>
    <t xml:space="preserve">                  ostatní nedaňové příjmy, kapitálové příjmy a přijaté transfery celkem</t>
  </si>
  <si>
    <t>výdaje regionálního školství a přímo řízených organizací</t>
  </si>
  <si>
    <t xml:space="preserve">                                v tom: OPŘO, státní správa, společné a specifické úkoly</t>
  </si>
  <si>
    <t xml:space="preserve">                                             program sociální prevence a prevence kriminality</t>
  </si>
  <si>
    <t xml:space="preserve">                                             program protidrgové politiky</t>
  </si>
  <si>
    <t xml:space="preserve">                                             podpora projektů integrace příslušníků romské komunity</t>
  </si>
  <si>
    <t xml:space="preserve">                                             zajištění přípravy na krizové situace podle zákona  č. 240/2000 Sb.</t>
  </si>
  <si>
    <t xml:space="preserve">                                             mezinárodní konference, semináře</t>
  </si>
  <si>
    <t>Poznámka:</t>
  </si>
  <si>
    <r>
      <t xml:space="preserve">Zahraniční rozvojová pomoc a programy kulturního dědictví nejsou součástí srovnatelné základny. V r. 2009 nastává </t>
    </r>
    <r>
      <rPr>
        <b/>
        <i/>
        <u val="single"/>
        <sz val="10"/>
        <rFont val="Arial CE"/>
        <family val="0"/>
      </rPr>
      <t xml:space="preserve">metodická změna </t>
    </r>
    <r>
      <rPr>
        <i/>
        <sz val="10"/>
        <rFont val="Arial CE"/>
        <family val="0"/>
      </rPr>
      <t xml:space="preserve">a tyto výdaje se trvale přesouvají z kapitoly VPS do kapitoly MŠMT. </t>
    </r>
  </si>
  <si>
    <t>Pro stanovení objektivního nárůstu kapitoly jsou tyto výdaje ve výši 190 381 tis. Kč z vlivů na rozpočet 2009 vyloučeny.</t>
  </si>
  <si>
    <t>Ze stejného důvodu se pro výpočet objektivního indexu nárůstu nezahrnuje objem výdajů krytých příjmy z EU (evivalent EU) ve výši 10 455 742 tis. Kč.</t>
  </si>
  <si>
    <t>Ze sloupce "Vlivy …." není vyloučen vliv snížené sazby zdravotního pojistného o 1 % (u VŠ a RGŠ by činilo zvýšení nárůstu o cca 0,5 %, v ostatních ukazatelích je dopad zanedbatelný).</t>
  </si>
  <si>
    <r>
      <t xml:space="preserve">Směrná čísla         </t>
    </r>
    <r>
      <rPr>
        <sz val="10"/>
        <rFont val="Arial CE"/>
        <family val="0"/>
      </rPr>
      <t xml:space="preserve">  (tab. B v textu)</t>
    </r>
  </si>
  <si>
    <r>
      <t xml:space="preserve">Směrná čísla po jednání vlády </t>
    </r>
    <r>
      <rPr>
        <sz val="10"/>
        <rFont val="Arial CE"/>
        <family val="0"/>
      </rPr>
      <t>(tab.C v textu *)</t>
    </r>
  </si>
  <si>
    <r>
      <t>Schválený rozpočet 2009</t>
    </r>
    <r>
      <rPr>
        <sz val="10"/>
        <rFont val="Arial CE"/>
        <family val="0"/>
      </rPr>
      <t xml:space="preserve"> (tab.D v textu)</t>
    </r>
  </si>
  <si>
    <r>
      <t xml:space="preserve">Výchozí výdajové rámce 2009           </t>
    </r>
    <r>
      <rPr>
        <sz val="10"/>
        <rFont val="Arial CE"/>
        <family val="0"/>
      </rPr>
      <t xml:space="preserve">    (tab.A v textu)</t>
    </r>
  </si>
  <si>
    <t>v tis.Kč</t>
  </si>
  <si>
    <t>Rozpočet 2009 bez ekvivalentu EU a vč. zahr.pomoci a kulturního dědictví</t>
  </si>
  <si>
    <t>Schválený rozpočet 2009  (tj.vč. ekvivalentu EU, zahr. pomoci a kulturního dědictví)</t>
  </si>
  <si>
    <t>(změny proti srovnatelné základně z roku 2008 - podrobně)</t>
  </si>
  <si>
    <t>Přímé výdaje regionálního školství a PŘO</t>
  </si>
  <si>
    <t>Programy spolufinancované z rozpočtu EU a z fin.mechanismů (mimo VaV)</t>
  </si>
  <si>
    <t>*) vyloučení mzdových limitů pro PO RGŠ ÚSC se nepromítá do změny závazných ukazatelů podle zákona č.475/2008 Sb., o státním rozpočtu na rok 2009</t>
  </si>
  <si>
    <t xml:space="preserve">Výdaje na programy spolufinancované z prostředků EU bez SZP - programovací období 2004 až 2006 </t>
  </si>
  <si>
    <t xml:space="preserve">Výdaje na programy spolufinancované z prostředků EU bez SZP - programovací období 2007 až 2013 </t>
  </si>
  <si>
    <t xml:space="preserve">                 EHP/Norsko kryté příjmem z prostředků finančních mechanismů</t>
  </si>
  <si>
    <t xml:space="preserve">                kryté příjmem z prostředků finančních mechanismů</t>
  </si>
  <si>
    <t>posílení RgŠ na učební pomůcky ZŠ 1.st.</t>
  </si>
  <si>
    <t>výdaje na programy spolufinancované z rozpočtu EU celkem mimo VaV</t>
  </si>
  <si>
    <t xml:space="preserve">                      výdaje spojené s předsednictvím ČR v Radě EU</t>
  </si>
  <si>
    <t>ostatní</t>
  </si>
  <si>
    <t xml:space="preserve"> z toho změny bez ekvivalentu EU, zahr. pomoci a kulturního dědictví (absolutně)</t>
  </si>
  <si>
    <t>Limity regulace zaměstnanosti na rok 2009 dle jednotlivých školských úseků</t>
  </si>
  <si>
    <t xml:space="preserve">NÁVRH   2 0 0 1  </t>
  </si>
  <si>
    <t>DALŠÍ  OPATŘENÍ</t>
  </si>
  <si>
    <t>POZMĚŇOVACÍ NÁVRHY</t>
  </si>
  <si>
    <t>R O Z P O Č E T     2 0 0 9</t>
  </si>
  <si>
    <t>Verze k 2.9. 2000</t>
  </si>
  <si>
    <t>po 2. jednání vlády 6.9.2000</t>
  </si>
  <si>
    <t>změny provedené resortem</t>
  </si>
  <si>
    <t xml:space="preserve">schválené v Parlamentu </t>
  </si>
  <si>
    <t>Platy a ostatní</t>
  </si>
  <si>
    <t>z toho:</t>
  </si>
  <si>
    <t>LIMIT</t>
  </si>
  <si>
    <t>Prům.</t>
  </si>
  <si>
    <t>Platy a ost.</t>
  </si>
  <si>
    <t>v tom:</t>
  </si>
  <si>
    <t>Organizační složky státu</t>
  </si>
  <si>
    <t>platby</t>
  </si>
  <si>
    <t xml:space="preserve">OSTATNÍ </t>
  </si>
  <si>
    <t xml:space="preserve"> PROSTŘ.</t>
  </si>
  <si>
    <t>POČTU</t>
  </si>
  <si>
    <t>měs.</t>
  </si>
  <si>
    <t>CELKEM</t>
  </si>
  <si>
    <t>PLATBY</t>
  </si>
  <si>
    <t>NA PLATY</t>
  </si>
  <si>
    <t>ZAMĚST.</t>
  </si>
  <si>
    <t>plat</t>
  </si>
  <si>
    <t>CELKEM v tis. Kč</t>
  </si>
  <si>
    <t>PLATBY v tis. Kč</t>
  </si>
  <si>
    <t>NA PLATY v tis. Kč</t>
  </si>
  <si>
    <t>plat v Kč</t>
  </si>
  <si>
    <t>Ústřední orgán:</t>
  </si>
  <si>
    <t xml:space="preserve">v tom: </t>
  </si>
  <si>
    <t>ústřední orgán</t>
  </si>
  <si>
    <t>technická asistence OP VpK</t>
  </si>
  <si>
    <t>technická asistence OP VaVpI</t>
  </si>
  <si>
    <t>OP TP -  PAS</t>
  </si>
  <si>
    <t>předsednictví v Radě EU</t>
  </si>
  <si>
    <t xml:space="preserve"> ÚO  ST. SPRÁVY</t>
  </si>
  <si>
    <t>Ústř. řízené org. st. správy:</t>
  </si>
  <si>
    <t>Česká školní inspekce</t>
  </si>
  <si>
    <t xml:space="preserve"> ÚŘO  ST. SPRÁVY</t>
  </si>
  <si>
    <t>Složky správy obrany, bezpečnosti,</t>
  </si>
  <si>
    <t xml:space="preserve">celní a právní ochrany, z toho: </t>
  </si>
  <si>
    <t>CELKEM   SOBCPO</t>
  </si>
  <si>
    <t xml:space="preserve">P o d ř í z e n á   s t . s p r á v a  </t>
  </si>
  <si>
    <t xml:space="preserve"> C E L K E M    ST. SPRÁVA</t>
  </si>
  <si>
    <t>Ost.organizační složky státu</t>
  </si>
  <si>
    <t>VSC</t>
  </si>
  <si>
    <t>CZVV</t>
  </si>
  <si>
    <t>společné úkoly</t>
  </si>
  <si>
    <t xml:space="preserve"> -</t>
  </si>
  <si>
    <t>mezinár. konference OSS</t>
  </si>
  <si>
    <t>programy spolufinancované s EU mimo VaV celkem (OP VpK)</t>
  </si>
  <si>
    <t xml:space="preserve">VaV institucionální </t>
  </si>
  <si>
    <t>VaV účelové</t>
  </si>
  <si>
    <t xml:space="preserve"> CELKEM   OST.   OSS</t>
  </si>
  <si>
    <t xml:space="preserve"> C E L K E M     OSS</t>
  </si>
  <si>
    <t>Příspěvkové organizace:</t>
  </si>
  <si>
    <t>1. OPŘO - celkem</t>
  </si>
  <si>
    <t>1.1 OPŘO - kmen.činnost, projekty (mimo sport.rep., VaV,drogy,krim., menšiny, mezinár.konf., projekty spoluf.s EU)</t>
  </si>
  <si>
    <t>1.2 OPŘO -  projekty OP VpK</t>
  </si>
  <si>
    <t>1.3 mládež - soutěže</t>
  </si>
  <si>
    <t>1.4 ADV</t>
  </si>
  <si>
    <t>1.5 VaV - účelové</t>
  </si>
  <si>
    <t>1.6 drogy, kriminalita, menšiny</t>
  </si>
  <si>
    <t>1.7 mezinárodní konference, semináře</t>
  </si>
  <si>
    <t>1.8 společné a specifické úkoly</t>
  </si>
  <si>
    <t>2. RGŠ územních celků celkem</t>
  </si>
  <si>
    <t>2.1 RGŠ územních celků</t>
  </si>
  <si>
    <t>2.2 RGŠ územních celků - projekty OP VpK bez GG VK</t>
  </si>
  <si>
    <t>3. RGŠ - PŘO</t>
  </si>
  <si>
    <t xml:space="preserve">  C E L K E M    PO  </t>
  </si>
  <si>
    <t xml:space="preserve"> SUMÁŘ   OSS a PO</t>
  </si>
  <si>
    <t>Ostatní výdaje (vč. oblasti mládeže a sportu)</t>
  </si>
  <si>
    <t xml:space="preserve">Regionální školství             </t>
  </si>
  <si>
    <t xml:space="preserve">Výzkum a vývoj </t>
  </si>
  <si>
    <t>*Průměrné mzdy v ČR a mzdu v rozpočtové sféře nedoporučujeme udávat, jelikož nejsme schopni určit jeho prognózu.</t>
  </si>
  <si>
    <t>Průměrný plat v celé ČR (zdroj ČSÚ ...  prognóza pro rok 2009 není k dispozici)</t>
  </si>
  <si>
    <t>Průměrný plat v rozpočtové sféře                 (zdroj ČSÚ … prognóza pro rok 2009 není k dispozici)</t>
  </si>
  <si>
    <t>Přímé výdaje regionálního školství</t>
  </si>
  <si>
    <t>Podpora činnosti v oblasti sportu</t>
  </si>
  <si>
    <t>Ostatní:</t>
  </si>
  <si>
    <t xml:space="preserve">        v tom: příjmy z rozpočtu Evropské unie bez SZP - programovací období 2004-2006 celkem</t>
  </si>
  <si>
    <t xml:space="preserve">                  příjmy z rozpočtu Evropské unie bez SZP - programovací období 2007-2013 celkem</t>
  </si>
  <si>
    <t xml:space="preserve">                  příjmy z prostředků ostatních zahraničních programů</t>
  </si>
  <si>
    <t>Výzkum a vývoj                                         (vč. programů spolufin.                           z rozpočtu EU)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</si>
</sst>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"/>
    <numFmt numFmtId="165" formatCode="#,##0;\-#,##0;\ \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%"/>
    <numFmt numFmtId="172" formatCode="#,##0.0"/>
    <numFmt numFmtId="173" formatCode="0.0000000"/>
    <numFmt numFmtId="174" formatCode="0.00000000"/>
    <numFmt numFmtId="175" formatCode="#,##0.00;\-#,##0.00;\ \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;\-#,##0;\ "/>
    <numFmt numFmtId="186" formatCode="dd/mm/yy;@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#,##0;[Red]&quot;NELZE !&quot;"/>
    <numFmt numFmtId="196" formatCode="#,##0;[Red]\-#,##0;&quot;  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8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i/>
      <u val="single"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 CE"/>
      <family val="2"/>
    </font>
    <font>
      <b/>
      <i/>
      <sz val="12"/>
      <name val="Arial CE"/>
      <family val="0"/>
    </font>
    <font>
      <vertAlign val="superscript"/>
      <sz val="8"/>
      <name val="Arial CE"/>
      <family val="2"/>
    </font>
    <font>
      <vertAlign val="superscript"/>
      <sz val="8"/>
      <name val="Arial"/>
      <family val="2"/>
    </font>
    <font>
      <b/>
      <sz val="12"/>
      <color indexed="10"/>
      <name val="Arial CE"/>
      <family val="0"/>
    </font>
    <font>
      <sz val="12"/>
      <name val="Arial CE"/>
      <family val="2"/>
    </font>
    <font>
      <b/>
      <i/>
      <u val="single"/>
      <sz val="10"/>
      <name val="Arial CE"/>
      <family val="0"/>
    </font>
    <font>
      <sz val="12"/>
      <name val="Arial"/>
      <family val="2"/>
    </font>
    <font>
      <sz val="9"/>
      <name val="Arial CE"/>
      <family val="0"/>
    </font>
    <font>
      <b/>
      <sz val="14"/>
      <name val="Times New Roman CE"/>
      <family val="1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u val="single"/>
      <sz val="16"/>
      <color indexed="8"/>
      <name val="Arial CE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63"/>
      </left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>
        <color indexed="63"/>
      </left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51" applyFont="1">
      <alignment/>
      <protection/>
    </xf>
    <xf numFmtId="0" fontId="4" fillId="0" borderId="0" xfId="51">
      <alignment/>
      <protection/>
    </xf>
    <xf numFmtId="0" fontId="4" fillId="33" borderId="10" xfId="51" applyFill="1" applyBorder="1">
      <alignment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0" xfId="51" applyFont="1" applyFill="1" applyBorder="1">
      <alignment/>
      <protection/>
    </xf>
    <xf numFmtId="0" fontId="4" fillId="0" borderId="10" xfId="51" applyFill="1" applyBorder="1">
      <alignment/>
      <protection/>
    </xf>
    <xf numFmtId="169" fontId="4" fillId="0" borderId="10" xfId="51" applyNumberFormat="1" applyFill="1" applyBorder="1">
      <alignment/>
      <protection/>
    </xf>
    <xf numFmtId="0" fontId="4" fillId="0" borderId="0" xfId="50">
      <alignment/>
      <protection/>
    </xf>
    <xf numFmtId="0" fontId="2" fillId="33" borderId="10" xfId="50" applyFont="1" applyFill="1" applyBorder="1">
      <alignment/>
      <protection/>
    </xf>
    <xf numFmtId="1" fontId="4" fillId="0" borderId="10" xfId="50" applyNumberFormat="1" applyBorder="1">
      <alignment/>
      <protection/>
    </xf>
    <xf numFmtId="1" fontId="7" fillId="0" borderId="10" xfId="50" applyNumberFormat="1" applyFont="1" applyFill="1" applyBorder="1">
      <alignment/>
      <protection/>
    </xf>
    <xf numFmtId="0" fontId="4" fillId="0" borderId="10" xfId="50" applyBorder="1">
      <alignment/>
      <protection/>
    </xf>
    <xf numFmtId="0" fontId="4" fillId="0" borderId="0" xfId="50" applyFont="1" applyFill="1" applyBorder="1" applyAlignment="1">
      <alignment wrapText="1"/>
      <protection/>
    </xf>
    <xf numFmtId="1" fontId="8" fillId="0" borderId="0" xfId="50" applyNumberFormat="1" applyFont="1" applyFill="1" applyBorder="1">
      <alignment/>
      <protection/>
    </xf>
    <xf numFmtId="0" fontId="7" fillId="0" borderId="0" xfId="50" applyFont="1" applyFill="1">
      <alignment/>
      <protection/>
    </xf>
    <xf numFmtId="0" fontId="4" fillId="0" borderId="0" xfId="50" applyFont="1">
      <alignment/>
      <protection/>
    </xf>
    <xf numFmtId="0" fontId="4" fillId="0" borderId="0" xfId="53">
      <alignment/>
      <protection/>
    </xf>
    <xf numFmtId="0" fontId="7" fillId="0" borderId="0" xfId="53" applyFont="1">
      <alignment/>
      <protection/>
    </xf>
    <xf numFmtId="0" fontId="4" fillId="34" borderId="0" xfId="52" applyFont="1" applyFill="1">
      <alignment/>
      <protection/>
    </xf>
    <xf numFmtId="0" fontId="2" fillId="34" borderId="0" xfId="52" applyFont="1" applyFill="1">
      <alignment/>
      <protection/>
    </xf>
    <xf numFmtId="0" fontId="4" fillId="0" borderId="0" xfId="52" applyFont="1">
      <alignment/>
      <protection/>
    </xf>
    <xf numFmtId="169" fontId="4" fillId="34" borderId="10" xfId="52" applyNumberFormat="1" applyFont="1" applyFill="1" applyBorder="1">
      <alignment/>
      <protection/>
    </xf>
    <xf numFmtId="169" fontId="4" fillId="34" borderId="10" xfId="52" applyNumberFormat="1" applyFont="1" applyFill="1" applyBorder="1" applyAlignment="1">
      <alignment horizontal="right" wrapText="1"/>
      <protection/>
    </xf>
    <xf numFmtId="169" fontId="3" fillId="34" borderId="10" xfId="52" applyNumberFormat="1" applyFont="1" applyFill="1" applyBorder="1">
      <alignment/>
      <protection/>
    </xf>
    <xf numFmtId="1" fontId="4" fillId="0" borderId="10" xfId="50" applyNumberFormat="1" applyFill="1" applyBorder="1">
      <alignment/>
      <protection/>
    </xf>
    <xf numFmtId="168" fontId="4" fillId="0" borderId="10" xfId="51" applyNumberFormat="1" applyFill="1" applyBorder="1">
      <alignment/>
      <protection/>
    </xf>
    <xf numFmtId="169" fontId="4" fillId="0" borderId="10" xfId="51" applyNumberFormat="1" applyFill="1" applyBorder="1" applyAlignment="1">
      <alignment horizontal="right"/>
      <protection/>
    </xf>
    <xf numFmtId="0" fontId="2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center" wrapText="1"/>
      <protection/>
    </xf>
    <xf numFmtId="0" fontId="3" fillId="33" borderId="10" xfId="52" applyFont="1" applyFill="1" applyBorder="1">
      <alignment/>
      <protection/>
    </xf>
    <xf numFmtId="0" fontId="15" fillId="0" borderId="0" xfId="48" applyFont="1">
      <alignment/>
      <protection/>
    </xf>
    <xf numFmtId="0" fontId="11" fillId="0" borderId="0" xfId="48" applyFont="1">
      <alignment/>
      <protection/>
    </xf>
    <xf numFmtId="0" fontId="16" fillId="0" borderId="0" xfId="48" applyFont="1">
      <alignment/>
      <protection/>
    </xf>
    <xf numFmtId="0" fontId="11" fillId="0" borderId="0" xfId="48" applyFont="1" applyAlignment="1">
      <alignment horizontal="right"/>
      <protection/>
    </xf>
    <xf numFmtId="0" fontId="17" fillId="0" borderId="0" xfId="48" applyFont="1">
      <alignment/>
      <protection/>
    </xf>
    <xf numFmtId="0" fontId="4" fillId="0" borderId="0" xfId="55" applyFill="1" applyAlignment="1">
      <alignment vertical="center"/>
      <protection/>
    </xf>
    <xf numFmtId="3" fontId="4" fillId="35" borderId="0" xfId="55" applyNumberFormat="1" applyFill="1" applyAlignment="1">
      <alignment vertical="center"/>
      <protection/>
    </xf>
    <xf numFmtId="3" fontId="4" fillId="35" borderId="0" xfId="55" applyNumberFormat="1" applyFill="1" applyAlignment="1">
      <alignment horizontal="right" vertical="center"/>
      <protection/>
    </xf>
    <xf numFmtId="0" fontId="14" fillId="0" borderId="0" xfId="55" applyFont="1" applyFill="1" applyAlignment="1">
      <alignment horizontal="centerContinuous" vertical="center"/>
      <protection/>
    </xf>
    <xf numFmtId="0" fontId="14" fillId="0" borderId="0" xfId="55" applyFont="1" applyFill="1" applyAlignment="1">
      <alignment horizontal="centerContinuous" vertical="center"/>
      <protection/>
    </xf>
    <xf numFmtId="3" fontId="4" fillId="35" borderId="0" xfId="55" applyNumberFormat="1" applyFill="1" applyAlignment="1">
      <alignment horizontal="centerContinuous" vertical="center"/>
      <protection/>
    </xf>
    <xf numFmtId="0" fontId="1" fillId="0" borderId="11" xfId="55" applyFont="1" applyFill="1" applyBorder="1" applyAlignment="1">
      <alignment vertical="center"/>
      <protection/>
    </xf>
    <xf numFmtId="0" fontId="18" fillId="0" borderId="12" xfId="55" applyFont="1" applyFill="1" applyBorder="1" applyAlignment="1">
      <alignment horizontal="center" vertical="center"/>
      <protection/>
    </xf>
    <xf numFmtId="3" fontId="4" fillId="35" borderId="13" xfId="54" applyNumberFormat="1" applyFont="1" applyFill="1" applyBorder="1" applyAlignment="1">
      <alignment horizontal="center" vertical="center"/>
      <protection/>
    </xf>
    <xf numFmtId="0" fontId="4" fillId="0" borderId="14" xfId="55" applyFill="1" applyBorder="1" applyAlignment="1">
      <alignment vertical="center"/>
      <protection/>
    </xf>
    <xf numFmtId="0" fontId="4" fillId="0" borderId="15" xfId="55" applyFont="1" applyFill="1" applyBorder="1" applyAlignment="1">
      <alignment horizontal="left" vertical="center"/>
      <protection/>
    </xf>
    <xf numFmtId="3" fontId="4" fillId="35" borderId="16" xfId="56" applyNumberFormat="1" applyFont="1" applyFill="1" applyBorder="1" applyAlignment="1">
      <alignment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vertical="center"/>
      <protection/>
    </xf>
    <xf numFmtId="3" fontId="4" fillId="35" borderId="16" xfId="56" applyNumberFormat="1" applyFont="1" applyFill="1" applyBorder="1" applyAlignment="1">
      <alignment vertical="top"/>
      <protection/>
    </xf>
    <xf numFmtId="3" fontId="4" fillId="0" borderId="0" xfId="55" applyNumberFormat="1" applyFill="1" applyAlignment="1">
      <alignment vertical="center"/>
      <protection/>
    </xf>
    <xf numFmtId="0" fontId="1" fillId="0" borderId="14" xfId="55" applyFont="1" applyBorder="1" applyAlignment="1">
      <alignment horizontal="left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3" fontId="4" fillId="35" borderId="18" xfId="62" applyNumberFormat="1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horizontal="left" vertical="center"/>
      <protection/>
    </xf>
    <xf numFmtId="3" fontId="4" fillId="35" borderId="16" xfId="62" applyNumberFormat="1" applyFont="1" applyFill="1" applyBorder="1" applyAlignment="1">
      <alignment vertical="center"/>
      <protection/>
    </xf>
    <xf numFmtId="0" fontId="4" fillId="0" borderId="19" xfId="55" applyFont="1" applyBorder="1" applyAlignment="1">
      <alignment horizontal="left" vertical="center"/>
      <protection/>
    </xf>
    <xf numFmtId="0" fontId="4" fillId="0" borderId="20" xfId="55" applyFont="1" applyBorder="1" applyAlignment="1">
      <alignment vertical="center" wrapText="1"/>
      <protection/>
    </xf>
    <xf numFmtId="0" fontId="4" fillId="0" borderId="21" xfId="55" applyFont="1" applyBorder="1" applyAlignment="1">
      <alignment vertical="center"/>
      <protection/>
    </xf>
    <xf numFmtId="0" fontId="4" fillId="0" borderId="22" xfId="55" applyFont="1" applyBorder="1" applyAlignment="1">
      <alignment vertical="center"/>
      <protection/>
    </xf>
    <xf numFmtId="0" fontId="1" fillId="0" borderId="23" xfId="55" applyFont="1" applyFill="1" applyBorder="1" applyAlignment="1">
      <alignment vertical="center"/>
      <protection/>
    </xf>
    <xf numFmtId="0" fontId="21" fillId="0" borderId="21" xfId="55" applyFont="1" applyFill="1" applyBorder="1" applyAlignment="1">
      <alignment vertical="center"/>
      <protection/>
    </xf>
    <xf numFmtId="0" fontId="4" fillId="0" borderId="23" xfId="55" applyFont="1" applyFill="1" applyBorder="1" applyAlignment="1">
      <alignment vertical="center"/>
      <protection/>
    </xf>
    <xf numFmtId="0" fontId="4" fillId="0" borderId="22" xfId="59" applyFont="1" applyFill="1" applyBorder="1" applyAlignment="1">
      <alignment vertical="center" wrapText="1"/>
      <protection/>
    </xf>
    <xf numFmtId="0" fontId="4" fillId="0" borderId="24" xfId="59" applyFont="1" applyFill="1" applyBorder="1" applyAlignment="1">
      <alignment vertical="center" wrapText="1"/>
      <protection/>
    </xf>
    <xf numFmtId="3" fontId="4" fillId="35" borderId="16" xfId="56" applyNumberFormat="1" applyFont="1" applyFill="1" applyBorder="1" applyAlignment="1">
      <alignment vertical="top"/>
      <protection/>
    </xf>
    <xf numFmtId="0" fontId="4" fillId="0" borderId="24" xfId="59" applyFont="1" applyBorder="1" applyAlignment="1">
      <alignment vertical="center"/>
      <protection/>
    </xf>
    <xf numFmtId="0" fontId="4" fillId="0" borderId="22" xfId="58" applyFont="1" applyFill="1" applyBorder="1" applyAlignment="1">
      <alignment vertical="center" wrapText="1"/>
      <protection/>
    </xf>
    <xf numFmtId="3" fontId="4" fillId="35" borderId="18" xfId="56" applyNumberFormat="1" applyFont="1" applyFill="1" applyBorder="1" applyAlignment="1">
      <alignment vertical="center"/>
      <protection/>
    </xf>
    <xf numFmtId="0" fontId="4" fillId="0" borderId="24" xfId="59" applyFont="1" applyBorder="1" applyAlignment="1">
      <alignment horizontal="left" vertical="center" wrapText="1"/>
      <protection/>
    </xf>
    <xf numFmtId="0" fontId="4" fillId="0" borderId="22" xfId="59" applyFont="1" applyBorder="1" applyAlignment="1">
      <alignment vertical="center" wrapText="1"/>
      <protection/>
    </xf>
    <xf numFmtId="0" fontId="1" fillId="0" borderId="14" xfId="55" applyFont="1" applyBorder="1" applyAlignment="1">
      <alignment vertical="center"/>
      <protection/>
    </xf>
    <xf numFmtId="0" fontId="4" fillId="0" borderId="17" xfId="55" applyFill="1" applyBorder="1" applyAlignment="1">
      <alignment vertical="center"/>
      <protection/>
    </xf>
    <xf numFmtId="3" fontId="4" fillId="35" borderId="18" xfId="49" applyNumberFormat="1" applyFont="1" applyFill="1" applyBorder="1" applyAlignment="1">
      <alignment vertical="center"/>
      <protection/>
    </xf>
    <xf numFmtId="0" fontId="4" fillId="0" borderId="23" xfId="55" applyFill="1" applyBorder="1" applyAlignment="1">
      <alignment vertical="center"/>
      <protection/>
    </xf>
    <xf numFmtId="0" fontId="4" fillId="0" borderId="22" xfId="56" applyFill="1" applyBorder="1" applyAlignment="1">
      <alignment vertical="center"/>
      <protection/>
    </xf>
    <xf numFmtId="0" fontId="4" fillId="0" borderId="22" xfId="56" applyFont="1" applyFill="1" applyBorder="1" applyAlignment="1">
      <alignment vertical="center"/>
      <protection/>
    </xf>
    <xf numFmtId="0" fontId="4" fillId="0" borderId="24" xfId="56" applyFont="1" applyFill="1" applyBorder="1" applyAlignment="1">
      <alignment vertical="center" wrapText="1"/>
      <protection/>
    </xf>
    <xf numFmtId="0" fontId="4" fillId="0" borderId="24" xfId="56" applyFill="1" applyBorder="1" applyAlignment="1">
      <alignment vertical="center"/>
      <protection/>
    </xf>
    <xf numFmtId="0" fontId="4" fillId="0" borderId="24" xfId="56" applyFont="1" applyFill="1" applyBorder="1" applyAlignment="1">
      <alignment vertical="center"/>
      <protection/>
    </xf>
    <xf numFmtId="2" fontId="4" fillId="0" borderId="22" xfId="60" applyNumberFormat="1" applyFont="1" applyFill="1" applyBorder="1" applyAlignment="1">
      <alignment vertical="center"/>
      <protection/>
    </xf>
    <xf numFmtId="0" fontId="4" fillId="0" borderId="0" xfId="55" applyFill="1" applyBorder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23" xfId="55" applyBorder="1" applyAlignment="1">
      <alignment vertical="center"/>
      <protection/>
    </xf>
    <xf numFmtId="3" fontId="4" fillId="0" borderId="18" xfId="56" applyNumberFormat="1" applyFont="1" applyFill="1" applyBorder="1" applyAlignment="1">
      <alignment vertical="center"/>
      <protection/>
    </xf>
    <xf numFmtId="0" fontId="4" fillId="0" borderId="24" xfId="56" applyFont="1" applyFill="1" applyBorder="1" applyAlignment="1">
      <alignment vertical="center"/>
      <protection/>
    </xf>
    <xf numFmtId="3" fontId="4" fillId="0" borderId="16" xfId="56" applyNumberFormat="1" applyFont="1" applyFill="1" applyBorder="1" applyAlignment="1">
      <alignment vertical="center"/>
      <protection/>
    </xf>
    <xf numFmtId="0" fontId="4" fillId="0" borderId="24" xfId="56" applyFont="1" applyFill="1" applyBorder="1" applyAlignment="1">
      <alignment vertical="center" wrapText="1"/>
      <protection/>
    </xf>
    <xf numFmtId="0" fontId="4" fillId="0" borderId="25" xfId="55" applyFill="1" applyBorder="1" applyAlignment="1">
      <alignment vertical="center"/>
      <protection/>
    </xf>
    <xf numFmtId="0" fontId="0" fillId="0" borderId="26" xfId="55" applyFont="1" applyFill="1" applyBorder="1" applyAlignment="1">
      <alignment vertical="top"/>
      <protection/>
    </xf>
    <xf numFmtId="3" fontId="4" fillId="0" borderId="27" xfId="56" applyNumberFormat="1" applyFont="1" applyFill="1" applyBorder="1" applyAlignment="1">
      <alignment vertical="center"/>
      <protection/>
    </xf>
    <xf numFmtId="3" fontId="4" fillId="0" borderId="0" xfId="55" applyNumberFormat="1" applyFont="1" applyFill="1" applyBorder="1" applyAlignment="1">
      <alignment horizontal="right" vertical="center"/>
      <protection/>
    </xf>
    <xf numFmtId="0" fontId="23" fillId="0" borderId="0" xfId="55" applyFont="1" applyFill="1" applyAlignment="1">
      <alignment vertical="top"/>
      <protection/>
    </xf>
    <xf numFmtId="0" fontId="4" fillId="0" borderId="0" xfId="55" applyFill="1" applyAlignment="1">
      <alignment vertical="center" wrapText="1"/>
      <protection/>
    </xf>
    <xf numFmtId="3" fontId="4" fillId="0" borderId="0" xfId="55" applyNumberFormat="1" applyFill="1" applyBorder="1" applyAlignment="1">
      <alignment vertical="center"/>
      <protection/>
    </xf>
    <xf numFmtId="0" fontId="14" fillId="0" borderId="0" xfId="55" applyFont="1" applyFill="1" applyAlignment="1">
      <alignment horizontal="left" vertical="center"/>
      <protection/>
    </xf>
    <xf numFmtId="0" fontId="0" fillId="0" borderId="0" xfId="55" applyFont="1" applyFill="1" applyBorder="1" applyAlignment="1">
      <alignment vertical="top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4" fillId="0" borderId="0" xfId="57" applyFill="1">
      <alignment/>
      <protection/>
    </xf>
    <xf numFmtId="0" fontId="1" fillId="0" borderId="28" xfId="57" applyFont="1" applyFill="1" applyBorder="1">
      <alignment/>
      <protection/>
    </xf>
    <xf numFmtId="0" fontId="18" fillId="0" borderId="29" xfId="57" applyFont="1" applyFill="1" applyBorder="1" applyAlignment="1">
      <alignment horizontal="center"/>
      <protection/>
    </xf>
    <xf numFmtId="184" fontId="2" fillId="0" borderId="30" xfId="57" applyNumberFormat="1" applyFont="1" applyFill="1" applyBorder="1" applyAlignment="1">
      <alignment horizontal="center" vertical="center" wrapText="1"/>
      <protection/>
    </xf>
    <xf numFmtId="184" fontId="4" fillId="0" borderId="30" xfId="57" applyNumberFormat="1" applyFont="1" applyFill="1" applyBorder="1" applyAlignment="1">
      <alignment horizontal="center" vertical="center" wrapText="1"/>
      <protection/>
    </xf>
    <xf numFmtId="0" fontId="2" fillId="0" borderId="31" xfId="57" applyFont="1" applyFill="1" applyBorder="1">
      <alignment/>
      <protection/>
    </xf>
    <xf numFmtId="0" fontId="2" fillId="0" borderId="10" xfId="57" applyFont="1" applyFill="1" applyBorder="1" applyAlignment="1">
      <alignment horizontal="left"/>
      <protection/>
    </xf>
    <xf numFmtId="3" fontId="2" fillId="0" borderId="10" xfId="57" applyNumberFormat="1" applyFont="1" applyFill="1" applyBorder="1" applyAlignment="1">
      <alignment/>
      <protection/>
    </xf>
    <xf numFmtId="3" fontId="4" fillId="0" borderId="10" xfId="57" applyNumberFormat="1" applyFont="1" applyFill="1" applyBorder="1" applyAlignment="1">
      <alignment/>
      <protection/>
    </xf>
    <xf numFmtId="0" fontId="2" fillId="0" borderId="0" xfId="57" applyFont="1" applyFill="1">
      <alignment/>
      <protection/>
    </xf>
    <xf numFmtId="0" fontId="1" fillId="0" borderId="31" xfId="57" applyFont="1" applyFill="1" applyBorder="1" applyAlignment="1">
      <alignment horizontal="left"/>
      <protection/>
    </xf>
    <xf numFmtId="0" fontId="1" fillId="0" borderId="29" xfId="57" applyFont="1" applyFill="1" applyBorder="1" applyAlignment="1">
      <alignment horizontal="center"/>
      <protection/>
    </xf>
    <xf numFmtId="3" fontId="1" fillId="0" borderId="19" xfId="57" applyNumberFormat="1" applyFont="1" applyFill="1" applyBorder="1" applyAlignment="1">
      <alignment/>
      <protection/>
    </xf>
    <xf numFmtId="3" fontId="4" fillId="0" borderId="19" xfId="57" applyNumberFormat="1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3" fontId="2" fillId="0" borderId="32" xfId="57" applyNumberFormat="1" applyFont="1" applyFill="1" applyBorder="1" applyAlignment="1">
      <alignment/>
      <protection/>
    </xf>
    <xf numFmtId="0" fontId="25" fillId="0" borderId="0" xfId="57" applyFont="1" applyFill="1">
      <alignment/>
      <protection/>
    </xf>
    <xf numFmtId="0" fontId="2" fillId="0" borderId="31" xfId="57" applyFont="1" applyFill="1" applyBorder="1" applyAlignment="1">
      <alignment horizontal="center"/>
      <protection/>
    </xf>
    <xf numFmtId="0" fontId="4" fillId="0" borderId="10" xfId="57" applyFill="1" applyBorder="1">
      <alignment/>
      <protection/>
    </xf>
    <xf numFmtId="3" fontId="4" fillId="0" borderId="10" xfId="57" applyNumberFormat="1" applyFont="1" applyFill="1" applyBorder="1" applyAlignment="1">
      <alignment/>
      <protection/>
    </xf>
    <xf numFmtId="0" fontId="1" fillId="0" borderId="31" xfId="57" applyFont="1" applyFill="1" applyBorder="1" applyAlignment="1">
      <alignment horizontal="center"/>
      <protection/>
    </xf>
    <xf numFmtId="0" fontId="4" fillId="0" borderId="31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>
      <alignment/>
      <protection/>
    </xf>
    <xf numFmtId="3" fontId="4" fillId="0" borderId="0" xfId="57" applyNumberFormat="1" applyFill="1">
      <alignment/>
      <protection/>
    </xf>
    <xf numFmtId="0" fontId="1" fillId="0" borderId="33" xfId="57" applyFont="1" applyFill="1" applyBorder="1" applyAlignment="1">
      <alignment horizontal="left"/>
      <protection/>
    </xf>
    <xf numFmtId="0" fontId="1" fillId="0" borderId="34" xfId="57" applyFont="1" applyFill="1" applyBorder="1" applyAlignment="1">
      <alignment horizontal="center"/>
      <protection/>
    </xf>
    <xf numFmtId="0" fontId="4" fillId="0" borderId="31" xfId="57" applyFill="1" applyBorder="1">
      <alignment/>
      <protection/>
    </xf>
    <xf numFmtId="0" fontId="4" fillId="0" borderId="35" xfId="57" applyFill="1" applyBorder="1">
      <alignment/>
      <protection/>
    </xf>
    <xf numFmtId="184" fontId="4" fillId="0" borderId="10" xfId="57" applyNumberFormat="1" applyFont="1" applyFill="1" applyBorder="1" applyAlignment="1">
      <alignment horizontal="center" vertical="center" wrapText="1"/>
      <protection/>
    </xf>
    <xf numFmtId="3" fontId="2" fillId="35" borderId="0" xfId="53" applyNumberFormat="1" applyFont="1" applyFill="1" applyAlignment="1">
      <alignment horizontal="centerContinuous"/>
      <protection/>
    </xf>
    <xf numFmtId="0" fontId="14" fillId="0" borderId="0" xfId="53" applyFont="1" applyAlignment="1">
      <alignment horizontal="centerContinuous"/>
      <protection/>
    </xf>
    <xf numFmtId="3" fontId="14" fillId="0" borderId="0" xfId="53" applyNumberFormat="1" applyFont="1" applyAlignment="1">
      <alignment horizontal="centerContinuous"/>
      <protection/>
    </xf>
    <xf numFmtId="3" fontId="2" fillId="35" borderId="0" xfId="53" applyNumberFormat="1" applyFont="1" applyFill="1" applyAlignment="1">
      <alignment horizontal="right"/>
      <protection/>
    </xf>
    <xf numFmtId="3" fontId="2" fillId="35" borderId="0" xfId="53" applyNumberFormat="1" applyFont="1" applyFill="1">
      <alignment/>
      <protection/>
    </xf>
    <xf numFmtId="0" fontId="4" fillId="0" borderId="0" xfId="53" applyAlignment="1">
      <alignment horizontal="right"/>
      <protection/>
    </xf>
    <xf numFmtId="0" fontId="1" fillId="0" borderId="10" xfId="56" applyFont="1" applyFill="1" applyBorder="1" applyAlignment="1">
      <alignment horizontal="center" vertical="center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3" fontId="4" fillId="35" borderId="36" xfId="56" applyNumberFormat="1" applyFont="1" applyFill="1" applyBorder="1" applyAlignment="1">
      <alignment horizontal="center" vertical="center" wrapText="1"/>
      <protection/>
    </xf>
    <xf numFmtId="3" fontId="4" fillId="35" borderId="37" xfId="56" applyNumberFormat="1" applyFont="1" applyFill="1" applyBorder="1" applyAlignment="1">
      <alignment horizontal="center" vertical="center" wrapText="1"/>
      <protection/>
    </xf>
    <xf numFmtId="0" fontId="4" fillId="0" borderId="0" xfId="53" applyAlignment="1">
      <alignment horizontal="center" vertical="center"/>
      <protection/>
    </xf>
    <xf numFmtId="3" fontId="0" fillId="35" borderId="10" xfId="0" applyNumberFormat="1" applyFont="1" applyFill="1" applyBorder="1" applyAlignment="1">
      <alignment/>
    </xf>
    <xf numFmtId="3" fontId="4" fillId="35" borderId="36" xfId="56" applyNumberFormat="1" applyFont="1" applyFill="1" applyBorder="1" applyAlignment="1">
      <alignment horizontal="center" vertical="top" wrapText="1"/>
      <protection/>
    </xf>
    <xf numFmtId="3" fontId="4" fillId="35" borderId="37" xfId="56" applyNumberFormat="1" applyFont="1" applyFill="1" applyBorder="1" applyAlignment="1">
      <alignment horizontal="center" vertical="top" wrapText="1"/>
      <protection/>
    </xf>
    <xf numFmtId="0" fontId="4" fillId="0" borderId="0" xfId="53" applyFont="1">
      <alignment/>
      <protection/>
    </xf>
    <xf numFmtId="3" fontId="65" fillId="35" borderId="10" xfId="0" applyNumberFormat="1" applyFont="1" applyFill="1" applyBorder="1" applyAlignment="1">
      <alignment/>
    </xf>
    <xf numFmtId="3" fontId="2" fillId="35" borderId="36" xfId="56" applyNumberFormat="1" applyFont="1" applyFill="1" applyBorder="1">
      <alignment/>
      <protection/>
    </xf>
    <xf numFmtId="4" fontId="2" fillId="35" borderId="37" xfId="56" applyNumberFormat="1" applyFont="1" applyFill="1" applyBorder="1">
      <alignment/>
      <protection/>
    </xf>
    <xf numFmtId="0" fontId="2" fillId="0" borderId="0" xfId="53" applyFont="1">
      <alignment/>
      <protection/>
    </xf>
    <xf numFmtId="3" fontId="4" fillId="35" borderId="36" xfId="56" applyNumberFormat="1" applyFont="1" applyFill="1" applyBorder="1">
      <alignment/>
      <protection/>
    </xf>
    <xf numFmtId="4" fontId="4" fillId="35" borderId="37" xfId="56" applyNumberFormat="1" applyFont="1" applyFill="1" applyBorder="1">
      <alignment/>
      <protection/>
    </xf>
    <xf numFmtId="3" fontId="4" fillId="35" borderId="36" xfId="56" applyNumberFormat="1" applyFont="1" applyFill="1" applyBorder="1" applyAlignment="1">
      <alignment horizontal="right"/>
      <protection/>
    </xf>
    <xf numFmtId="4" fontId="4" fillId="35" borderId="37" xfId="56" applyNumberFormat="1" applyFont="1" applyFill="1" applyBorder="1" applyAlignment="1">
      <alignment horizontal="right"/>
      <protection/>
    </xf>
    <xf numFmtId="3" fontId="80" fillId="35" borderId="10" xfId="0" applyNumberFormat="1" applyFont="1" applyFill="1" applyBorder="1" applyAlignment="1">
      <alignment/>
    </xf>
    <xf numFmtId="3" fontId="7" fillId="35" borderId="36" xfId="56" applyNumberFormat="1" applyFont="1" applyFill="1" applyBorder="1">
      <alignment/>
      <protection/>
    </xf>
    <xf numFmtId="4" fontId="7" fillId="35" borderId="37" xfId="56" applyNumberFormat="1" applyFont="1" applyFill="1" applyBorder="1">
      <alignment/>
      <protection/>
    </xf>
    <xf numFmtId="184" fontId="2" fillId="0" borderId="10" xfId="57" applyNumberFormat="1" applyFont="1" applyFill="1" applyBorder="1" applyAlignment="1">
      <alignment horizontal="center" vertical="center" wrapText="1"/>
      <protection/>
    </xf>
    <xf numFmtId="0" fontId="24" fillId="0" borderId="17" xfId="57" applyFont="1" applyFill="1" applyBorder="1" applyAlignment="1">
      <alignment vertical="center" wrapText="1"/>
      <protection/>
    </xf>
    <xf numFmtId="0" fontId="4" fillId="0" borderId="17" xfId="57" applyFont="1" applyFill="1" applyBorder="1" applyAlignment="1">
      <alignment horizontal="right" vertical="center" wrapText="1"/>
      <protection/>
    </xf>
    <xf numFmtId="3" fontId="0" fillId="0" borderId="10" xfId="0" applyNumberFormat="1" applyFont="1" applyFill="1" applyBorder="1" applyAlignment="1">
      <alignment/>
    </xf>
    <xf numFmtId="3" fontId="65" fillId="0" borderId="10" xfId="0" applyNumberFormat="1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0" fontId="8" fillId="0" borderId="0" xfId="53" applyFont="1">
      <alignment/>
      <protection/>
    </xf>
    <xf numFmtId="0" fontId="25" fillId="0" borderId="0" xfId="53" applyFont="1" applyAlignment="1">
      <alignment horizontal="left"/>
      <protection/>
    </xf>
    <xf numFmtId="0" fontId="0" fillId="0" borderId="0" xfId="48" applyFont="1">
      <alignment/>
      <protection/>
    </xf>
    <xf numFmtId="3" fontId="0" fillId="0" borderId="0" xfId="55" applyNumberFormat="1" applyFont="1" applyFill="1" applyAlignment="1">
      <alignment horizontal="right" vertical="center"/>
      <protection/>
    </xf>
    <xf numFmtId="0" fontId="27" fillId="0" borderId="0" xfId="53" applyFont="1" applyAlignment="1">
      <alignment horizontal="left"/>
      <protection/>
    </xf>
    <xf numFmtId="0" fontId="0" fillId="0" borderId="0" xfId="48" applyFont="1" applyAlignment="1">
      <alignment horizontal="right"/>
      <protection/>
    </xf>
    <xf numFmtId="0" fontId="81" fillId="0" borderId="15" xfId="0" applyFont="1" applyBorder="1" applyAlignment="1">
      <alignment horizontal="center" vertical="center"/>
    </xf>
    <xf numFmtId="0" fontId="0" fillId="36" borderId="18" xfId="0" applyFont="1" applyFill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37" borderId="18" xfId="0" applyFont="1" applyFill="1" applyBorder="1" applyAlignment="1">
      <alignment horizontal="center" textRotation="90" wrapText="1"/>
    </xf>
    <xf numFmtId="0" fontId="0" fillId="36" borderId="38" xfId="0" applyFont="1" applyFill="1" applyBorder="1" applyAlignment="1">
      <alignment horizontal="center" textRotation="90" wrapText="1"/>
    </xf>
    <xf numFmtId="0" fontId="0" fillId="0" borderId="31" xfId="0" applyFont="1" applyBorder="1" applyAlignment="1">
      <alignment/>
    </xf>
    <xf numFmtId="0" fontId="0" fillId="36" borderId="3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3" fontId="82" fillId="36" borderId="46" xfId="0" applyNumberFormat="1" applyFont="1" applyFill="1" applyBorder="1" applyAlignment="1">
      <alignment/>
    </xf>
    <xf numFmtId="3" fontId="82" fillId="36" borderId="47" xfId="0" applyNumberFormat="1" applyFont="1" applyFill="1" applyBorder="1" applyAlignment="1">
      <alignment/>
    </xf>
    <xf numFmtId="3" fontId="82" fillId="36" borderId="48" xfId="0" applyNumberFormat="1" applyFont="1" applyFill="1" applyBorder="1" applyAlignment="1">
      <alignment/>
    </xf>
    <xf numFmtId="3" fontId="82" fillId="36" borderId="49" xfId="0" applyNumberFormat="1" applyFont="1" applyFill="1" applyBorder="1" applyAlignment="1">
      <alignment/>
    </xf>
    <xf numFmtId="3" fontId="82" fillId="37" borderId="13" xfId="0" applyNumberFormat="1" applyFont="1" applyFill="1" applyBorder="1" applyAlignment="1">
      <alignment/>
    </xf>
    <xf numFmtId="3" fontId="82" fillId="36" borderId="13" xfId="0" applyNumberFormat="1" applyFont="1" applyFill="1" applyBorder="1" applyAlignment="1">
      <alignment/>
    </xf>
    <xf numFmtId="3" fontId="82" fillId="36" borderId="50" xfId="0" applyNumberFormat="1" applyFont="1" applyFill="1" applyBorder="1" applyAlignment="1">
      <alignment/>
    </xf>
    <xf numFmtId="3" fontId="0" fillId="37" borderId="15" xfId="0" applyNumberFormat="1" applyFont="1" applyFill="1" applyBorder="1" applyAlignment="1">
      <alignment/>
    </xf>
    <xf numFmtId="3" fontId="0" fillId="36" borderId="51" xfId="0" applyNumberFormat="1" applyFont="1" applyFill="1" applyBorder="1" applyAlignment="1">
      <alignment/>
    </xf>
    <xf numFmtId="3" fontId="0" fillId="37" borderId="32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38" xfId="0" applyNumberFormat="1" applyFont="1" applyFill="1" applyBorder="1" applyAlignment="1">
      <alignment/>
    </xf>
    <xf numFmtId="3" fontId="0" fillId="0" borderId="0" xfId="48" applyNumberFormat="1" applyFont="1">
      <alignment/>
      <protection/>
    </xf>
    <xf numFmtId="3" fontId="82" fillId="37" borderId="15" xfId="0" applyNumberFormat="1" applyFont="1" applyFill="1" applyBorder="1" applyAlignment="1">
      <alignment/>
    </xf>
    <xf numFmtId="3" fontId="82" fillId="36" borderId="51" xfId="0" applyNumberFormat="1" applyFont="1" applyFill="1" applyBorder="1" applyAlignment="1">
      <alignment/>
    </xf>
    <xf numFmtId="3" fontId="82" fillId="37" borderId="32" xfId="0" applyNumberFormat="1" applyFont="1" applyFill="1" applyBorder="1" applyAlignment="1">
      <alignment/>
    </xf>
    <xf numFmtId="3" fontId="82" fillId="37" borderId="10" xfId="0" applyNumberFormat="1" applyFont="1" applyFill="1" applyBorder="1" applyAlignment="1">
      <alignment/>
    </xf>
    <xf numFmtId="3" fontId="82" fillId="37" borderId="18" xfId="0" applyNumberFormat="1" applyFont="1" applyFill="1" applyBorder="1" applyAlignment="1">
      <alignment/>
    </xf>
    <xf numFmtId="3" fontId="82" fillId="36" borderId="18" xfId="0" applyNumberFormat="1" applyFont="1" applyFill="1" applyBorder="1" applyAlignment="1">
      <alignment/>
    </xf>
    <xf numFmtId="3" fontId="82" fillId="36" borderId="38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82" fillId="36" borderId="15" xfId="0" applyNumberFormat="1" applyFont="1" applyFill="1" applyBorder="1" applyAlignment="1">
      <alignment/>
    </xf>
    <xf numFmtId="3" fontId="82" fillId="36" borderId="32" xfId="0" applyNumberFormat="1" applyFont="1" applyFill="1" applyBorder="1" applyAlignment="1">
      <alignment/>
    </xf>
    <xf numFmtId="3" fontId="82" fillId="36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4" fillId="0" borderId="0" xfId="61" applyNumberFormat="1" applyFont="1" applyFill="1" applyProtection="1">
      <alignment/>
      <protection hidden="1"/>
    </xf>
    <xf numFmtId="3" fontId="28" fillId="0" borderId="0" xfId="61" applyNumberFormat="1" applyFont="1" applyProtection="1">
      <alignment/>
      <protection hidden="1"/>
    </xf>
    <xf numFmtId="3" fontId="1" fillId="0" borderId="0" xfId="61" applyNumberFormat="1" applyFont="1" applyAlignment="1" applyProtection="1">
      <alignment horizontal="right"/>
      <protection hidden="1"/>
    </xf>
    <xf numFmtId="49" fontId="29" fillId="0" borderId="0" xfId="61" applyNumberFormat="1" applyFont="1" applyFill="1" applyProtection="1">
      <alignment/>
      <protection hidden="1"/>
    </xf>
    <xf numFmtId="3" fontId="28" fillId="0" borderId="0" xfId="61" applyNumberFormat="1" applyFont="1" applyAlignment="1" applyProtection="1">
      <alignment horizontal="centerContinuous"/>
      <protection hidden="1"/>
    </xf>
    <xf numFmtId="3" fontId="1" fillId="0" borderId="0" xfId="61" applyNumberFormat="1" applyFont="1" applyFill="1" applyProtection="1">
      <alignment/>
      <protection hidden="1" locked="0"/>
    </xf>
    <xf numFmtId="164" fontId="28" fillId="0" borderId="0" xfId="61" applyNumberFormat="1" applyFont="1" applyProtection="1">
      <alignment/>
      <protection hidden="1"/>
    </xf>
    <xf numFmtId="3" fontId="30" fillId="0" borderId="52" xfId="61" applyNumberFormat="1" applyFont="1" applyFill="1" applyBorder="1" applyProtection="1">
      <alignment/>
      <protection hidden="1"/>
    </xf>
    <xf numFmtId="3" fontId="30" fillId="0" borderId="53" xfId="61" applyNumberFormat="1" applyFont="1" applyBorder="1" applyAlignment="1" applyProtection="1">
      <alignment horizontal="centerContinuous"/>
      <protection hidden="1"/>
    </xf>
    <xf numFmtId="3" fontId="30" fillId="0" borderId="54" xfId="61" applyNumberFormat="1" applyFont="1" applyBorder="1" applyAlignment="1" applyProtection="1">
      <alignment horizontal="centerContinuous"/>
      <protection hidden="1"/>
    </xf>
    <xf numFmtId="0" fontId="2" fillId="0" borderId="0" xfId="0" applyFont="1" applyAlignment="1">
      <alignment/>
    </xf>
    <xf numFmtId="3" fontId="30" fillId="0" borderId="45" xfId="61" applyNumberFormat="1" applyFont="1" applyFill="1" applyBorder="1" applyProtection="1">
      <alignment/>
      <protection hidden="1"/>
    </xf>
    <xf numFmtId="3" fontId="30" fillId="0" borderId="55" xfId="61" applyNumberFormat="1" applyFont="1" applyBorder="1" applyAlignment="1" applyProtection="1">
      <alignment horizontal="centerContinuous"/>
      <protection hidden="1"/>
    </xf>
    <xf numFmtId="3" fontId="30" fillId="0" borderId="56" xfId="61" applyNumberFormat="1" applyFont="1" applyBorder="1" applyAlignment="1" applyProtection="1">
      <alignment horizontal="centerContinuous"/>
      <protection hidden="1"/>
    </xf>
    <xf numFmtId="3" fontId="30" fillId="0" borderId="55" xfId="61" applyNumberFormat="1" applyFont="1" applyBorder="1" applyAlignment="1" applyProtection="1">
      <alignment horizontal="left"/>
      <protection hidden="1"/>
    </xf>
    <xf numFmtId="3" fontId="31" fillId="0" borderId="45" xfId="61" applyNumberFormat="1" applyFont="1" applyFill="1" applyBorder="1" applyProtection="1">
      <alignment/>
      <protection hidden="1"/>
    </xf>
    <xf numFmtId="3" fontId="31" fillId="0" borderId="44" xfId="61" applyNumberFormat="1" applyFont="1" applyBorder="1" applyAlignment="1" applyProtection="1">
      <alignment horizontal="centerContinuous"/>
      <protection hidden="1"/>
    </xf>
    <xf numFmtId="3" fontId="31" fillId="0" borderId="46" xfId="61" applyNumberFormat="1" applyFont="1" applyBorder="1" applyAlignment="1" applyProtection="1">
      <alignment horizontal="left"/>
      <protection hidden="1"/>
    </xf>
    <xf numFmtId="3" fontId="31" fillId="0" borderId="48" xfId="61" applyNumberFormat="1" applyFont="1" applyBorder="1" applyProtection="1">
      <alignment/>
      <protection hidden="1"/>
    </xf>
    <xf numFmtId="3" fontId="31" fillId="0" borderId="44" xfId="61" applyNumberFormat="1" applyFont="1" applyBorder="1" applyAlignment="1" applyProtection="1">
      <alignment horizontal="center"/>
      <protection hidden="1"/>
    </xf>
    <xf numFmtId="3" fontId="31" fillId="0" borderId="57" xfId="61" applyNumberFormat="1" applyFont="1" applyBorder="1" applyAlignment="1" applyProtection="1">
      <alignment horizontal="center"/>
      <protection hidden="1"/>
    </xf>
    <xf numFmtId="3" fontId="31" fillId="0" borderId="58" xfId="61" applyNumberFormat="1" applyFont="1" applyBorder="1" applyAlignment="1" applyProtection="1">
      <alignment horizontal="centerContinuous"/>
      <protection hidden="1"/>
    </xf>
    <xf numFmtId="3" fontId="31" fillId="0" borderId="35" xfId="61" applyNumberFormat="1" applyFont="1" applyBorder="1" applyAlignment="1" applyProtection="1">
      <alignment horizontal="left"/>
      <protection hidden="1"/>
    </xf>
    <xf numFmtId="3" fontId="31" fillId="0" borderId="59" xfId="61" applyNumberFormat="1" applyFont="1" applyBorder="1" applyProtection="1">
      <alignment/>
      <protection hidden="1"/>
    </xf>
    <xf numFmtId="3" fontId="31" fillId="0" borderId="60" xfId="61" applyNumberFormat="1" applyFont="1" applyBorder="1" applyAlignment="1" applyProtection="1">
      <alignment horizontal="center"/>
      <protection hidden="1"/>
    </xf>
    <xf numFmtId="3" fontId="31" fillId="0" borderId="0" xfId="61" applyNumberFormat="1" applyFont="1" applyBorder="1" applyAlignment="1" applyProtection="1">
      <alignment horizontal="center"/>
      <protection hidden="1"/>
    </xf>
    <xf numFmtId="3" fontId="31" fillId="0" borderId="11" xfId="61" applyNumberFormat="1" applyFont="1" applyBorder="1" applyAlignment="1" applyProtection="1">
      <alignment horizontal="centerContinuous"/>
      <protection hidden="1"/>
    </xf>
    <xf numFmtId="3" fontId="31" fillId="0" borderId="61" xfId="61" applyNumberFormat="1" applyFont="1" applyBorder="1" applyAlignment="1" applyProtection="1">
      <alignment horizontal="center"/>
      <protection hidden="1"/>
    </xf>
    <xf numFmtId="3" fontId="31" fillId="0" borderId="62" xfId="61" applyNumberFormat="1" applyFont="1" applyBorder="1" applyAlignment="1" applyProtection="1">
      <alignment horizontal="center"/>
      <protection hidden="1"/>
    </xf>
    <xf numFmtId="3" fontId="31" fillId="0" borderId="45" xfId="61" applyNumberFormat="1" applyFont="1" applyFill="1" applyBorder="1" applyAlignment="1" applyProtection="1">
      <alignment horizontal="center" vertical="center" wrapText="1"/>
      <protection hidden="1"/>
    </xf>
    <xf numFmtId="3" fontId="31" fillId="0" borderId="60" xfId="61" applyNumberFormat="1" applyFont="1" applyBorder="1" applyAlignment="1" applyProtection="1">
      <alignment horizontal="centerContinuous"/>
      <protection hidden="1"/>
    </xf>
    <xf numFmtId="3" fontId="31" fillId="0" borderId="0" xfId="61" applyNumberFormat="1" applyFont="1" applyBorder="1" applyAlignment="1" applyProtection="1">
      <alignment horizontal="centerContinuous"/>
      <protection hidden="1"/>
    </xf>
    <xf numFmtId="3" fontId="31" fillId="0" borderId="14" xfId="61" applyNumberFormat="1" applyFont="1" applyBorder="1" applyAlignment="1" applyProtection="1">
      <alignment horizontal="centerContinuous"/>
      <protection hidden="1"/>
    </xf>
    <xf numFmtId="3" fontId="31" fillId="0" borderId="63" xfId="61" applyNumberFormat="1" applyFont="1" applyBorder="1" applyAlignment="1" applyProtection="1">
      <alignment horizontal="centerContinuous"/>
      <protection hidden="1"/>
    </xf>
    <xf numFmtId="3" fontId="31" fillId="0" borderId="64" xfId="61" applyNumberFormat="1" applyFont="1" applyBorder="1" applyAlignment="1" applyProtection="1">
      <alignment horizontal="center"/>
      <protection hidden="1"/>
    </xf>
    <xf numFmtId="3" fontId="31" fillId="0" borderId="65" xfId="61" applyNumberFormat="1" applyFont="1" applyBorder="1" applyAlignment="1" applyProtection="1">
      <alignment horizontal="centerContinuous"/>
      <protection hidden="1"/>
    </xf>
    <xf numFmtId="3" fontId="31" fillId="0" borderId="66" xfId="61" applyNumberFormat="1" applyFont="1" applyBorder="1" applyAlignment="1" applyProtection="1">
      <alignment horizontal="centerContinuous"/>
      <protection hidden="1"/>
    </xf>
    <xf numFmtId="3" fontId="31" fillId="0" borderId="67" xfId="61" applyNumberFormat="1" applyFont="1" applyBorder="1" applyAlignment="1" applyProtection="1">
      <alignment horizontal="centerContinuous"/>
      <protection hidden="1"/>
    </xf>
    <xf numFmtId="3" fontId="31" fillId="0" borderId="68" xfId="61" applyNumberFormat="1" applyFont="1" applyBorder="1" applyAlignment="1" applyProtection="1">
      <alignment horizontal="centerContinuous"/>
      <protection hidden="1"/>
    </xf>
    <xf numFmtId="3" fontId="31" fillId="0" borderId="69" xfId="61" applyNumberFormat="1" applyFont="1" applyBorder="1" applyAlignment="1" applyProtection="1">
      <alignment horizontal="centerContinuous"/>
      <protection hidden="1"/>
    </xf>
    <xf numFmtId="3" fontId="31" fillId="0" borderId="70" xfId="61" applyNumberFormat="1" applyFont="1" applyBorder="1" applyAlignment="1" applyProtection="1">
      <alignment horizontal="center"/>
      <protection hidden="1"/>
    </xf>
    <xf numFmtId="3" fontId="28" fillId="0" borderId="52" xfId="61" applyNumberFormat="1" applyFont="1" applyFill="1" applyBorder="1" applyAlignment="1" applyProtection="1">
      <alignment horizontal="center" vertical="top"/>
      <protection hidden="1"/>
    </xf>
    <xf numFmtId="3" fontId="28" fillId="0" borderId="44" xfId="61" applyNumberFormat="1" applyFont="1" applyBorder="1" applyProtection="1">
      <alignment/>
      <protection hidden="1"/>
    </xf>
    <xf numFmtId="3" fontId="28" fillId="0" borderId="57" xfId="61" applyNumberFormat="1" applyFont="1" applyBorder="1" applyProtection="1">
      <alignment/>
      <protection hidden="1"/>
    </xf>
    <xf numFmtId="3" fontId="28" fillId="0" borderId="71" xfId="61" applyNumberFormat="1" applyFont="1" applyBorder="1" applyProtection="1">
      <alignment/>
      <protection hidden="1"/>
    </xf>
    <xf numFmtId="3" fontId="28" fillId="0" borderId="0" xfId="61" applyNumberFormat="1" applyFont="1" applyBorder="1" applyProtection="1">
      <alignment/>
      <protection hidden="1"/>
    </xf>
    <xf numFmtId="3" fontId="28" fillId="0" borderId="14" xfId="61" applyNumberFormat="1" applyFont="1" applyBorder="1" applyProtection="1">
      <alignment/>
      <protection hidden="1"/>
    </xf>
    <xf numFmtId="3" fontId="28" fillId="0" borderId="60" xfId="61" applyNumberFormat="1" applyFont="1" applyBorder="1" applyProtection="1">
      <alignment/>
      <protection hidden="1"/>
    </xf>
    <xf numFmtId="3" fontId="30" fillId="0" borderId="45" xfId="0" applyNumberFormat="1" applyFont="1" applyFill="1" applyBorder="1" applyAlignment="1" applyProtection="1">
      <alignment horizontal="left"/>
      <protection hidden="1"/>
    </xf>
    <xf numFmtId="3" fontId="28" fillId="0" borderId="44" xfId="0" applyNumberFormat="1" applyFont="1" applyBorder="1" applyAlignment="1" applyProtection="1">
      <alignment wrapText="1"/>
      <protection hidden="1"/>
    </xf>
    <xf numFmtId="3" fontId="28" fillId="0" borderId="44" xfId="0" applyNumberFormat="1" applyFont="1" applyBorder="1" applyAlignment="1" applyProtection="1">
      <alignment/>
      <protection hidden="1" locked="0"/>
    </xf>
    <xf numFmtId="3" fontId="28" fillId="0" borderId="57" xfId="0" applyNumberFormat="1" applyFont="1" applyBorder="1" applyAlignment="1" applyProtection="1">
      <alignment/>
      <protection hidden="1"/>
    </xf>
    <xf numFmtId="3" fontId="28" fillId="0" borderId="71" xfId="0" applyNumberFormat="1" applyFont="1" applyBorder="1" applyAlignment="1" applyProtection="1">
      <alignment/>
      <protection hidden="1" locked="0"/>
    </xf>
    <xf numFmtId="3" fontId="28" fillId="0" borderId="57" xfId="0" applyNumberFormat="1" applyFont="1" applyBorder="1" applyAlignment="1" applyProtection="1">
      <alignment/>
      <protection hidden="1" locked="0"/>
    </xf>
    <xf numFmtId="3" fontId="28" fillId="0" borderId="0" xfId="0" applyNumberFormat="1" applyFont="1" applyBorder="1" applyAlignment="1" applyProtection="1">
      <alignment/>
      <protection hidden="1" locked="0"/>
    </xf>
    <xf numFmtId="3" fontId="30" fillId="0" borderId="14" xfId="0" applyNumberFormat="1" applyFont="1" applyBorder="1" applyAlignment="1" applyProtection="1">
      <alignment/>
      <protection hidden="1" locked="0"/>
    </xf>
    <xf numFmtId="3" fontId="30" fillId="0" borderId="44" xfId="0" applyNumberFormat="1" applyFont="1" applyBorder="1" applyAlignment="1" applyProtection="1">
      <alignment/>
      <protection hidden="1" locked="0"/>
    </xf>
    <xf numFmtId="3" fontId="30" fillId="0" borderId="60" xfId="0" applyNumberFormat="1" applyFont="1" applyBorder="1" applyAlignment="1" applyProtection="1">
      <alignment/>
      <protection hidden="1"/>
    </xf>
    <xf numFmtId="3" fontId="28" fillId="0" borderId="45" xfId="0" applyNumberFormat="1" applyFont="1" applyFill="1" applyBorder="1" applyAlignment="1" applyProtection="1">
      <alignment/>
      <protection hidden="1"/>
    </xf>
    <xf numFmtId="3" fontId="28" fillId="0" borderId="44" xfId="0" applyNumberFormat="1" applyFont="1" applyBorder="1" applyAlignment="1" applyProtection="1">
      <alignment/>
      <protection hidden="1"/>
    </xf>
    <xf numFmtId="3" fontId="28" fillId="0" borderId="14" xfId="0" applyNumberFormat="1" applyFont="1" applyBorder="1" applyAlignment="1" applyProtection="1">
      <alignment/>
      <protection hidden="1"/>
    </xf>
    <xf numFmtId="3" fontId="28" fillId="0" borderId="60" xfId="0" applyNumberFormat="1" applyFont="1" applyBorder="1" applyAlignment="1" applyProtection="1">
      <alignment/>
      <protection hidden="1"/>
    </xf>
    <xf numFmtId="3" fontId="28" fillId="0" borderId="18" xfId="0" applyNumberFormat="1" applyFont="1" applyFill="1" applyBorder="1" applyAlignment="1" applyProtection="1">
      <alignment vertical="top"/>
      <protection locked="0"/>
    </xf>
    <xf numFmtId="3" fontId="28" fillId="0" borderId="32" xfId="0" applyNumberFormat="1" applyFont="1" applyBorder="1" applyAlignment="1" applyProtection="1">
      <alignment wrapText="1"/>
      <protection hidden="1"/>
    </xf>
    <xf numFmtId="3" fontId="28" fillId="0" borderId="32" xfId="0" applyNumberFormat="1" applyFont="1" applyFill="1" applyBorder="1" applyAlignment="1" applyProtection="1">
      <alignment/>
      <protection locked="0"/>
    </xf>
    <xf numFmtId="3" fontId="28" fillId="0" borderId="72" xfId="0" applyNumberFormat="1" applyFont="1" applyBorder="1" applyAlignment="1" applyProtection="1">
      <alignment/>
      <protection hidden="1"/>
    </xf>
    <xf numFmtId="3" fontId="28" fillId="0" borderId="73" xfId="0" applyNumberFormat="1" applyFont="1" applyBorder="1" applyAlignment="1" applyProtection="1">
      <alignment wrapText="1"/>
      <protection hidden="1"/>
    </xf>
    <xf numFmtId="3" fontId="28" fillId="38" borderId="73" xfId="0" applyNumberFormat="1" applyFont="1" applyFill="1" applyBorder="1" applyAlignment="1" applyProtection="1">
      <alignment/>
      <protection locked="0"/>
    </xf>
    <xf numFmtId="3" fontId="28" fillId="38" borderId="72" xfId="0" applyNumberFormat="1" applyFont="1" applyFill="1" applyBorder="1" applyAlignment="1" applyProtection="1">
      <alignment/>
      <protection locked="0"/>
    </xf>
    <xf numFmtId="3" fontId="28" fillId="38" borderId="19" xfId="0" applyNumberFormat="1" applyFont="1" applyFill="1" applyBorder="1" applyAlignment="1" applyProtection="1">
      <alignment/>
      <protection locked="0"/>
    </xf>
    <xf numFmtId="3" fontId="28" fillId="0" borderId="38" xfId="0" applyNumberFormat="1" applyFont="1" applyBorder="1" applyAlignment="1" applyProtection="1">
      <alignment/>
      <protection hidden="1"/>
    </xf>
    <xf numFmtId="3" fontId="28" fillId="0" borderId="32" xfId="0" applyNumberFormat="1" applyFont="1" applyBorder="1" applyAlignment="1" applyProtection="1">
      <alignment/>
      <protection hidden="1"/>
    </xf>
    <xf numFmtId="3" fontId="28" fillId="0" borderId="20" xfId="0" applyNumberFormat="1" applyFont="1" applyBorder="1" applyAlignment="1" applyProtection="1">
      <alignment/>
      <protection hidden="1"/>
    </xf>
    <xf numFmtId="3" fontId="28" fillId="0" borderId="16" xfId="0" applyNumberFormat="1" applyFont="1" applyFill="1" applyBorder="1" applyAlignment="1" applyProtection="1">
      <alignment vertical="top"/>
      <protection locked="0"/>
    </xf>
    <xf numFmtId="3" fontId="28" fillId="0" borderId="59" xfId="0" applyNumberFormat="1" applyFont="1" applyBorder="1" applyAlignment="1" applyProtection="1">
      <alignment wrapText="1"/>
      <protection hidden="1"/>
    </xf>
    <xf numFmtId="3" fontId="28" fillId="0" borderId="59" xfId="0" applyNumberFormat="1" applyFont="1" applyFill="1" applyBorder="1" applyAlignment="1" applyProtection="1">
      <alignment/>
      <protection locked="0"/>
    </xf>
    <xf numFmtId="3" fontId="28" fillId="0" borderId="74" xfId="0" applyNumberFormat="1" applyFont="1" applyBorder="1" applyAlignment="1" applyProtection="1">
      <alignment/>
      <protection hidden="1"/>
    </xf>
    <xf numFmtId="3" fontId="28" fillId="0" borderId="75" xfId="0" applyNumberFormat="1" applyFont="1" applyBorder="1" applyAlignment="1" applyProtection="1">
      <alignment wrapText="1"/>
      <protection hidden="1"/>
    </xf>
    <xf numFmtId="3" fontId="28" fillId="38" borderId="75" xfId="0" applyNumberFormat="1" applyFont="1" applyFill="1" applyBorder="1" applyAlignment="1" applyProtection="1">
      <alignment/>
      <protection locked="0"/>
    </xf>
    <xf numFmtId="3" fontId="28" fillId="38" borderId="74" xfId="0" applyNumberFormat="1" applyFont="1" applyFill="1" applyBorder="1" applyAlignment="1" applyProtection="1">
      <alignment/>
      <protection locked="0"/>
    </xf>
    <xf numFmtId="3" fontId="28" fillId="38" borderId="17" xfId="0" applyNumberFormat="1" applyFont="1" applyFill="1" applyBorder="1" applyAlignment="1" applyProtection="1">
      <alignment/>
      <protection locked="0"/>
    </xf>
    <xf numFmtId="3" fontId="28" fillId="0" borderId="59" xfId="0" applyNumberFormat="1" applyFont="1" applyBorder="1" applyAlignment="1" applyProtection="1">
      <alignment/>
      <protection hidden="1"/>
    </xf>
    <xf numFmtId="3" fontId="30" fillId="0" borderId="76" xfId="0" applyNumberFormat="1" applyFont="1" applyFill="1" applyBorder="1" applyAlignment="1" applyProtection="1">
      <alignment horizontal="center"/>
      <protection hidden="1"/>
    </xf>
    <xf numFmtId="3" fontId="30" fillId="0" borderId="77" xfId="0" applyNumberFormat="1" applyFont="1" applyBorder="1" applyAlignment="1" applyProtection="1">
      <alignment/>
      <protection hidden="1"/>
    </xf>
    <xf numFmtId="3" fontId="30" fillId="0" borderId="78" xfId="0" applyNumberFormat="1" applyFont="1" applyBorder="1" applyAlignment="1" applyProtection="1">
      <alignment/>
      <protection hidden="1"/>
    </xf>
    <xf numFmtId="3" fontId="30" fillId="0" borderId="79" xfId="0" applyNumberFormat="1" applyFont="1" applyBorder="1" applyAlignment="1" applyProtection="1">
      <alignment/>
      <protection hidden="1"/>
    </xf>
    <xf numFmtId="3" fontId="30" fillId="39" borderId="79" xfId="0" applyNumberFormat="1" applyFont="1" applyFill="1" applyBorder="1" applyAlignment="1" applyProtection="1">
      <alignment/>
      <protection hidden="1"/>
    </xf>
    <xf numFmtId="3" fontId="30" fillId="39" borderId="78" xfId="0" applyNumberFormat="1" applyFont="1" applyFill="1" applyBorder="1" applyAlignment="1" applyProtection="1">
      <alignment/>
      <protection hidden="1"/>
    </xf>
    <xf numFmtId="3" fontId="30" fillId="39" borderId="80" xfId="0" applyNumberFormat="1" applyFont="1" applyFill="1" applyBorder="1" applyAlignment="1" applyProtection="1">
      <alignment/>
      <protection hidden="1"/>
    </xf>
    <xf numFmtId="3" fontId="30" fillId="0" borderId="81" xfId="0" applyNumberFormat="1" applyFont="1" applyBorder="1" applyAlignment="1" applyProtection="1">
      <alignment/>
      <protection hidden="1"/>
    </xf>
    <xf numFmtId="3" fontId="30" fillId="0" borderId="82" xfId="0" applyNumberFormat="1" applyFont="1" applyBorder="1" applyAlignment="1" applyProtection="1">
      <alignment/>
      <protection hidden="1"/>
    </xf>
    <xf numFmtId="3" fontId="28" fillId="0" borderId="16" xfId="0" applyNumberFormat="1" applyFont="1" applyFill="1" applyBorder="1" applyAlignment="1" applyProtection="1">
      <alignment/>
      <protection hidden="1"/>
    </xf>
    <xf numFmtId="3" fontId="28" fillId="0" borderId="75" xfId="0" applyNumberFormat="1" applyFont="1" applyBorder="1" applyAlignment="1" applyProtection="1">
      <alignment/>
      <protection hidden="1" locked="0"/>
    </xf>
    <xf numFmtId="3" fontId="28" fillId="0" borderId="74" xfId="0" applyNumberFormat="1" applyFont="1" applyBorder="1" applyAlignment="1" applyProtection="1">
      <alignment/>
      <protection hidden="1" locked="0"/>
    </xf>
    <xf numFmtId="3" fontId="28" fillId="0" borderId="17" xfId="0" applyNumberFormat="1" applyFont="1" applyBorder="1" applyAlignment="1" applyProtection="1">
      <alignment/>
      <protection hidden="1" locked="0"/>
    </xf>
    <xf numFmtId="3" fontId="28" fillId="0" borderId="83" xfId="0" applyNumberFormat="1" applyFont="1" applyBorder="1" applyAlignment="1" applyProtection="1">
      <alignment/>
      <protection hidden="1"/>
    </xf>
    <xf numFmtId="3" fontId="28" fillId="0" borderId="21" xfId="0" applyNumberFormat="1" applyFont="1" applyBorder="1" applyAlignment="1" applyProtection="1">
      <alignment/>
      <protection hidden="1"/>
    </xf>
    <xf numFmtId="3" fontId="28" fillId="0" borderId="16" xfId="0" applyNumberFormat="1" applyFont="1" applyFill="1" applyBorder="1" applyAlignment="1" applyProtection="1">
      <alignment/>
      <protection locked="0"/>
    </xf>
    <xf numFmtId="3" fontId="28" fillId="0" borderId="84" xfId="0" applyNumberFormat="1" applyFont="1" applyBorder="1" applyAlignment="1" applyProtection="1">
      <alignment/>
      <protection hidden="1"/>
    </xf>
    <xf numFmtId="3" fontId="30" fillId="0" borderId="84" xfId="0" applyNumberFormat="1" applyFont="1" applyBorder="1" applyAlignment="1" applyProtection="1">
      <alignment/>
      <protection hidden="1"/>
    </xf>
    <xf numFmtId="3" fontId="28" fillId="0" borderId="45" xfId="0" applyNumberFormat="1" applyFont="1" applyFill="1" applyBorder="1" applyAlignment="1" applyProtection="1">
      <alignment horizontal="left"/>
      <protection hidden="1"/>
    </xf>
    <xf numFmtId="3" fontId="28" fillId="0" borderId="14" xfId="0" applyNumberFormat="1" applyFont="1" applyBorder="1" applyAlignment="1" applyProtection="1">
      <alignment/>
      <protection hidden="1" locked="0"/>
    </xf>
    <xf numFmtId="3" fontId="30" fillId="0" borderId="18" xfId="0" applyNumberFormat="1" applyFont="1" applyFill="1" applyBorder="1" applyAlignment="1" applyProtection="1">
      <alignment horizontal="center"/>
      <protection hidden="1"/>
    </xf>
    <xf numFmtId="3" fontId="28" fillId="0" borderId="32" xfId="0" applyNumberFormat="1" applyFont="1" applyFill="1" applyBorder="1" applyAlignment="1" applyProtection="1">
      <alignment/>
      <protection hidden="1"/>
    </xf>
    <xf numFmtId="3" fontId="28" fillId="0" borderId="73" xfId="0" applyNumberFormat="1" applyFont="1" applyBorder="1" applyAlignment="1" applyProtection="1">
      <alignment/>
      <protection hidden="1"/>
    </xf>
    <xf numFmtId="3" fontId="28" fillId="40" borderId="73" xfId="0" applyNumberFormat="1" applyFont="1" applyFill="1" applyBorder="1" applyAlignment="1" applyProtection="1">
      <alignment/>
      <protection hidden="1"/>
    </xf>
    <xf numFmtId="3" fontId="28" fillId="40" borderId="72" xfId="0" applyNumberFormat="1" applyFont="1" applyFill="1" applyBorder="1" applyAlignment="1" applyProtection="1">
      <alignment/>
      <protection hidden="1"/>
    </xf>
    <xf numFmtId="3" fontId="28" fillId="40" borderId="19" xfId="0" applyNumberFormat="1" applyFont="1" applyFill="1" applyBorder="1" applyAlignment="1" applyProtection="1">
      <alignment/>
      <protection hidden="1"/>
    </xf>
    <xf numFmtId="3" fontId="30" fillId="0" borderId="41" xfId="0" applyNumberFormat="1" applyFont="1" applyFill="1" applyBorder="1" applyAlignment="1" applyProtection="1">
      <alignment horizontal="center"/>
      <protection hidden="1"/>
    </xf>
    <xf numFmtId="3" fontId="28" fillId="0" borderId="30" xfId="0" applyNumberFormat="1" applyFont="1" applyBorder="1" applyAlignment="1" applyProtection="1">
      <alignment/>
      <protection hidden="1"/>
    </xf>
    <xf numFmtId="3" fontId="28" fillId="0" borderId="85" xfId="0" applyNumberFormat="1" applyFont="1" applyBorder="1" applyAlignment="1" applyProtection="1">
      <alignment/>
      <protection hidden="1"/>
    </xf>
    <xf numFmtId="3" fontId="28" fillId="40" borderId="85" xfId="0" applyNumberFormat="1" applyFont="1" applyFill="1" applyBorder="1" applyAlignment="1" applyProtection="1">
      <alignment/>
      <protection hidden="1"/>
    </xf>
    <xf numFmtId="3" fontId="28" fillId="40" borderId="86" xfId="0" applyNumberFormat="1" applyFont="1" applyFill="1" applyBorder="1" applyAlignment="1" applyProtection="1">
      <alignment/>
      <protection hidden="1"/>
    </xf>
    <xf numFmtId="3" fontId="28" fillId="40" borderId="87" xfId="0" applyNumberFormat="1" applyFont="1" applyFill="1" applyBorder="1" applyAlignment="1" applyProtection="1">
      <alignment/>
      <protection hidden="1"/>
    </xf>
    <xf numFmtId="3" fontId="28" fillId="0" borderId="42" xfId="0" applyNumberFormat="1" applyFont="1" applyBorder="1" applyAlignment="1" applyProtection="1">
      <alignment/>
      <protection hidden="1"/>
    </xf>
    <xf numFmtId="3" fontId="28" fillId="0" borderId="86" xfId="0" applyNumberFormat="1" applyFont="1" applyBorder="1" applyAlignment="1" applyProtection="1">
      <alignment/>
      <protection hidden="1"/>
    </xf>
    <xf numFmtId="3" fontId="30" fillId="0" borderId="76" xfId="0" applyNumberFormat="1" applyFont="1" applyFill="1" applyBorder="1" applyAlignment="1" applyProtection="1">
      <alignment horizontal="center"/>
      <protection hidden="1"/>
    </xf>
    <xf numFmtId="3" fontId="30" fillId="0" borderId="77" xfId="0" applyNumberFormat="1" applyFont="1" applyBorder="1" applyAlignment="1" applyProtection="1">
      <alignment/>
      <protection hidden="1"/>
    </xf>
    <xf numFmtId="3" fontId="30" fillId="0" borderId="77" xfId="0" applyNumberFormat="1" applyFont="1" applyFill="1" applyBorder="1" applyAlignment="1" applyProtection="1">
      <alignment/>
      <protection hidden="1"/>
    </xf>
    <xf numFmtId="3" fontId="30" fillId="0" borderId="78" xfId="0" applyNumberFormat="1" applyFont="1" applyBorder="1" applyAlignment="1" applyProtection="1">
      <alignment/>
      <protection hidden="1"/>
    </xf>
    <xf numFmtId="3" fontId="30" fillId="0" borderId="79" xfId="0" applyNumberFormat="1" applyFont="1" applyBorder="1" applyAlignment="1" applyProtection="1">
      <alignment/>
      <protection hidden="1"/>
    </xf>
    <xf numFmtId="3" fontId="30" fillId="0" borderId="82" xfId="0" applyNumberFormat="1" applyFont="1" applyBorder="1" applyAlignment="1" applyProtection="1">
      <alignment/>
      <protection hidden="1"/>
    </xf>
    <xf numFmtId="3" fontId="30" fillId="0" borderId="80" xfId="0" applyNumberFormat="1" applyFont="1" applyBorder="1" applyAlignment="1" applyProtection="1">
      <alignment/>
      <protection hidden="1"/>
    </xf>
    <xf numFmtId="3" fontId="30" fillId="0" borderId="81" xfId="0" applyNumberFormat="1" applyFont="1" applyBorder="1" applyAlignment="1" applyProtection="1">
      <alignment/>
      <protection hidden="1"/>
    </xf>
    <xf numFmtId="0" fontId="28" fillId="0" borderId="0" xfId="0" applyFont="1" applyAlignment="1">
      <alignment/>
    </xf>
    <xf numFmtId="3" fontId="28" fillId="0" borderId="45" xfId="0" applyNumberFormat="1" applyFont="1" applyFill="1" applyBorder="1" applyAlignment="1" applyProtection="1">
      <alignment horizontal="center"/>
      <protection hidden="1"/>
    </xf>
    <xf numFmtId="3" fontId="28" fillId="0" borderId="44" xfId="0" applyNumberFormat="1" applyFont="1" applyFill="1" applyBorder="1" applyAlignment="1" applyProtection="1">
      <alignment/>
      <protection hidden="1"/>
    </xf>
    <xf numFmtId="3" fontId="28" fillId="0" borderId="71" xfId="0" applyNumberFormat="1" applyFont="1" applyBorder="1" applyAlignment="1" applyProtection="1">
      <alignment/>
      <protection hidden="1"/>
    </xf>
    <xf numFmtId="3" fontId="28" fillId="0" borderId="0" xfId="0" applyNumberFormat="1" applyFont="1" applyBorder="1" applyAlignment="1" applyProtection="1">
      <alignment/>
      <protection hidden="1"/>
    </xf>
    <xf numFmtId="3" fontId="30" fillId="0" borderId="45" xfId="0" applyNumberFormat="1" applyFont="1" applyFill="1" applyBorder="1" applyAlignment="1" applyProtection="1">
      <alignment horizontal="left"/>
      <protection hidden="1"/>
    </xf>
    <xf numFmtId="3" fontId="28" fillId="0" borderId="16" xfId="0" applyNumberFormat="1" applyFont="1" applyFill="1" applyBorder="1" applyAlignment="1" applyProtection="1">
      <alignment/>
      <protection locked="0"/>
    </xf>
    <xf numFmtId="3" fontId="28" fillId="0" borderId="21" xfId="0" applyNumberFormat="1" applyFont="1" applyBorder="1" applyAlignment="1" applyProtection="1">
      <alignment horizontal="center"/>
      <protection hidden="1"/>
    </xf>
    <xf numFmtId="3" fontId="30" fillId="0" borderId="77" xfId="0" applyNumberFormat="1" applyFont="1" applyFill="1" applyBorder="1" applyAlignment="1" applyProtection="1">
      <alignment/>
      <protection hidden="1"/>
    </xf>
    <xf numFmtId="3" fontId="28" fillId="0" borderId="45" xfId="61" applyNumberFormat="1" applyFont="1" applyFill="1" applyBorder="1" applyProtection="1">
      <alignment/>
      <protection hidden="1"/>
    </xf>
    <xf numFmtId="3" fontId="4" fillId="0" borderId="44" xfId="61" applyNumberFormat="1" applyFont="1" applyBorder="1" applyProtection="1">
      <alignment/>
      <protection hidden="1"/>
    </xf>
    <xf numFmtId="3" fontId="4" fillId="0" borderId="44" xfId="61" applyNumberFormat="1" applyFont="1" applyFill="1" applyBorder="1" applyProtection="1">
      <alignment/>
      <protection hidden="1"/>
    </xf>
    <xf numFmtId="3" fontId="4" fillId="0" borderId="57" xfId="61" applyNumberFormat="1" applyFont="1" applyBorder="1" applyProtection="1">
      <alignment/>
      <protection hidden="1"/>
    </xf>
    <xf numFmtId="3" fontId="4" fillId="0" borderId="71" xfId="61" applyNumberFormat="1" applyFont="1" applyBorder="1" applyProtection="1">
      <alignment/>
      <protection hidden="1"/>
    </xf>
    <xf numFmtId="3" fontId="4" fillId="0" borderId="0" xfId="61" applyNumberFormat="1" applyFont="1" applyBorder="1" applyProtection="1">
      <alignment/>
      <protection hidden="1"/>
    </xf>
    <xf numFmtId="3" fontId="4" fillId="0" borderId="14" xfId="61" applyNumberFormat="1" applyFont="1" applyBorder="1" applyProtection="1">
      <alignment/>
      <protection hidden="1"/>
    </xf>
    <xf numFmtId="3" fontId="4" fillId="0" borderId="60" xfId="61" applyNumberFormat="1" applyFont="1" applyBorder="1" applyProtection="1">
      <alignment/>
      <protection hidden="1"/>
    </xf>
    <xf numFmtId="3" fontId="28" fillId="0" borderId="52" xfId="61" applyNumberFormat="1" applyFont="1" applyFill="1" applyBorder="1" applyProtection="1">
      <alignment/>
      <protection hidden="1"/>
    </xf>
    <xf numFmtId="3" fontId="4" fillId="0" borderId="61" xfId="61" applyNumberFormat="1" applyFont="1" applyBorder="1" applyProtection="1">
      <alignment/>
      <protection hidden="1"/>
    </xf>
    <xf numFmtId="3" fontId="4" fillId="0" borderId="61" xfId="61" applyNumberFormat="1" applyFont="1" applyFill="1" applyBorder="1" applyProtection="1">
      <alignment/>
      <protection hidden="1"/>
    </xf>
    <xf numFmtId="3" fontId="4" fillId="0" borderId="88" xfId="61" applyNumberFormat="1" applyFont="1" applyBorder="1" applyProtection="1">
      <alignment/>
      <protection hidden="1"/>
    </xf>
    <xf numFmtId="3" fontId="4" fillId="0" borderId="89" xfId="61" applyNumberFormat="1" applyFont="1" applyBorder="1" applyProtection="1">
      <alignment/>
      <protection hidden="1"/>
    </xf>
    <xf numFmtId="3" fontId="4" fillId="0" borderId="90" xfId="61" applyNumberFormat="1" applyFont="1" applyBorder="1" applyProtection="1">
      <alignment/>
      <protection hidden="1"/>
    </xf>
    <xf numFmtId="3" fontId="4" fillId="0" borderId="11" xfId="61" applyNumberFormat="1" applyFont="1" applyBorder="1" applyProtection="1">
      <alignment/>
      <protection hidden="1"/>
    </xf>
    <xf numFmtId="3" fontId="4" fillId="0" borderId="62" xfId="61" applyNumberFormat="1" applyFont="1" applyBorder="1" applyProtection="1">
      <alignment/>
      <protection hidden="1"/>
    </xf>
    <xf numFmtId="3" fontId="1" fillId="0" borderId="45" xfId="0" applyNumberFormat="1" applyFont="1" applyFill="1" applyBorder="1" applyAlignment="1" applyProtection="1">
      <alignment horizontal="center"/>
      <protection hidden="1"/>
    </xf>
    <xf numFmtId="3" fontId="1" fillId="0" borderId="44" xfId="61" applyNumberFormat="1" applyFont="1" applyBorder="1" applyProtection="1">
      <alignment/>
      <protection hidden="1"/>
    </xf>
    <xf numFmtId="3" fontId="1" fillId="0" borderId="44" xfId="61" applyNumberFormat="1" applyFont="1" applyFill="1" applyBorder="1" applyProtection="1">
      <alignment/>
      <protection hidden="1"/>
    </xf>
    <xf numFmtId="3" fontId="1" fillId="0" borderId="57" xfId="61" applyNumberFormat="1" applyFont="1" applyBorder="1" applyProtection="1">
      <alignment/>
      <protection hidden="1"/>
    </xf>
    <xf numFmtId="3" fontId="1" fillId="0" borderId="71" xfId="61" applyNumberFormat="1" applyFont="1" applyBorder="1" applyProtection="1">
      <alignment/>
      <protection hidden="1"/>
    </xf>
    <xf numFmtId="3" fontId="1" fillId="0" borderId="0" xfId="61" applyNumberFormat="1" applyFont="1" applyBorder="1" applyProtection="1">
      <alignment/>
      <protection hidden="1"/>
    </xf>
    <xf numFmtId="3" fontId="1" fillId="0" borderId="14" xfId="61" applyNumberFormat="1" applyFont="1" applyBorder="1" applyProtection="1">
      <alignment/>
      <protection hidden="1"/>
    </xf>
    <xf numFmtId="3" fontId="1" fillId="0" borderId="60" xfId="61" applyNumberFormat="1" applyFont="1" applyBorder="1" applyProtection="1">
      <alignment/>
      <protection hidden="1"/>
    </xf>
    <xf numFmtId="3" fontId="28" fillId="0" borderId="27" xfId="61" applyNumberFormat="1" applyFont="1" applyFill="1" applyBorder="1" applyProtection="1">
      <alignment/>
      <protection hidden="1"/>
    </xf>
    <xf numFmtId="3" fontId="4" fillId="0" borderId="69" xfId="61" applyNumberFormat="1" applyFont="1" applyBorder="1" applyProtection="1">
      <alignment/>
      <protection hidden="1"/>
    </xf>
    <xf numFmtId="3" fontId="4" fillId="0" borderId="69" xfId="61" applyNumberFormat="1" applyFont="1" applyFill="1" applyBorder="1" applyProtection="1">
      <alignment/>
      <protection hidden="1"/>
    </xf>
    <xf numFmtId="3" fontId="4" fillId="0" borderId="56" xfId="61" applyNumberFormat="1" applyFont="1" applyBorder="1" applyProtection="1">
      <alignment/>
      <protection hidden="1"/>
    </xf>
    <xf numFmtId="3" fontId="4" fillId="0" borderId="91" xfId="61" applyNumberFormat="1" applyFont="1" applyBorder="1" applyProtection="1">
      <alignment/>
      <protection hidden="1"/>
    </xf>
    <xf numFmtId="3" fontId="4" fillId="0" borderId="55" xfId="61" applyNumberFormat="1" applyFont="1" applyBorder="1" applyProtection="1">
      <alignment/>
      <protection hidden="1"/>
    </xf>
    <xf numFmtId="3" fontId="4" fillId="0" borderId="68" xfId="61" applyNumberFormat="1" applyFont="1" applyBorder="1" applyProtection="1">
      <alignment/>
      <protection hidden="1"/>
    </xf>
    <xf numFmtId="3" fontId="4" fillId="0" borderId="70" xfId="61" applyNumberFormat="1" applyFont="1" applyBorder="1" applyProtection="1">
      <alignment/>
      <protection hidden="1"/>
    </xf>
    <xf numFmtId="3" fontId="30" fillId="0" borderId="44" xfId="0" applyNumberFormat="1" applyFont="1" applyBorder="1" applyAlignment="1" applyProtection="1">
      <alignment/>
      <protection hidden="1"/>
    </xf>
    <xf numFmtId="3" fontId="30" fillId="0" borderId="44" xfId="0" applyNumberFormat="1" applyFont="1" applyFill="1" applyBorder="1" applyAlignment="1" applyProtection="1">
      <alignment/>
      <protection hidden="1"/>
    </xf>
    <xf numFmtId="3" fontId="30" fillId="0" borderId="57" xfId="0" applyNumberFormat="1" applyFont="1" applyBorder="1" applyAlignment="1" applyProtection="1">
      <alignment/>
      <protection hidden="1"/>
    </xf>
    <xf numFmtId="3" fontId="30" fillId="0" borderId="71" xfId="0" applyNumberFormat="1" applyFont="1" applyBorder="1" applyAlignment="1" applyProtection="1">
      <alignment/>
      <protection hidden="1"/>
    </xf>
    <xf numFmtId="3" fontId="30" fillId="0" borderId="0" xfId="0" applyNumberFormat="1" applyFont="1" applyBorder="1" applyAlignment="1" applyProtection="1">
      <alignment/>
      <protection hidden="1"/>
    </xf>
    <xf numFmtId="3" fontId="30" fillId="0" borderId="92" xfId="0" applyNumberFormat="1" applyFont="1" applyBorder="1" applyAlignment="1" applyProtection="1">
      <alignment/>
      <protection hidden="1" locked="0"/>
    </xf>
    <xf numFmtId="3" fontId="28" fillId="0" borderId="59" xfId="0" applyNumberFormat="1" applyFont="1" applyFill="1" applyBorder="1" applyAlignment="1" applyProtection="1">
      <alignment/>
      <protection hidden="1"/>
    </xf>
    <xf numFmtId="3" fontId="28" fillId="0" borderId="24" xfId="0" applyNumberFormat="1" applyFont="1" applyBorder="1" applyAlignment="1" applyProtection="1">
      <alignment/>
      <protection hidden="1"/>
    </xf>
    <xf numFmtId="3" fontId="30" fillId="0" borderId="16" xfId="0" applyNumberFormat="1" applyFont="1" applyFill="1" applyBorder="1" applyAlignment="1" applyProtection="1">
      <alignment/>
      <protection locked="0"/>
    </xf>
    <xf numFmtId="3" fontId="30" fillId="0" borderId="59" xfId="0" applyNumberFormat="1" applyFont="1" applyBorder="1" applyAlignment="1" applyProtection="1">
      <alignment wrapText="1"/>
      <protection hidden="1"/>
    </xf>
    <xf numFmtId="3" fontId="30" fillId="0" borderId="59" xfId="0" applyNumberFormat="1" applyFont="1" applyFill="1" applyBorder="1" applyAlignment="1" applyProtection="1">
      <alignment/>
      <protection locked="0"/>
    </xf>
    <xf numFmtId="3" fontId="30" fillId="0" borderId="74" xfId="0" applyNumberFormat="1" applyFont="1" applyBorder="1" applyAlignment="1" applyProtection="1">
      <alignment/>
      <protection hidden="1"/>
    </xf>
    <xf numFmtId="3" fontId="30" fillId="0" borderId="75" xfId="0" applyNumberFormat="1" applyFont="1" applyBorder="1" applyAlignment="1" applyProtection="1">
      <alignment/>
      <protection hidden="1" locked="0"/>
    </xf>
    <xf numFmtId="3" fontId="30" fillId="38" borderId="75" xfId="0" applyNumberFormat="1" applyFont="1" applyFill="1" applyBorder="1" applyAlignment="1" applyProtection="1">
      <alignment/>
      <protection locked="0"/>
    </xf>
    <xf numFmtId="3" fontId="30" fillId="38" borderId="74" xfId="0" applyNumberFormat="1" applyFont="1" applyFill="1" applyBorder="1" applyAlignment="1" applyProtection="1">
      <alignment/>
      <protection locked="0"/>
    </xf>
    <xf numFmtId="3" fontId="30" fillId="38" borderId="17" xfId="0" applyNumberFormat="1" applyFont="1" applyFill="1" applyBorder="1" applyAlignment="1" applyProtection="1">
      <alignment/>
      <protection locked="0"/>
    </xf>
    <xf numFmtId="3" fontId="30" fillId="0" borderId="83" xfId="0" applyNumberFormat="1" applyFont="1" applyBorder="1" applyAlignment="1" applyProtection="1">
      <alignment/>
      <protection hidden="1"/>
    </xf>
    <xf numFmtId="3" fontId="30" fillId="0" borderId="59" xfId="0" applyNumberFormat="1" applyFont="1" applyBorder="1" applyAlignment="1" applyProtection="1">
      <alignment/>
      <protection hidden="1"/>
    </xf>
    <xf numFmtId="3" fontId="30" fillId="0" borderId="21" xfId="0" applyNumberFormat="1" applyFont="1" applyBorder="1" applyAlignment="1" applyProtection="1">
      <alignment/>
      <protection hidden="1"/>
    </xf>
    <xf numFmtId="3" fontId="28" fillId="0" borderId="16" xfId="0" applyNumberFormat="1" applyFont="1" applyFill="1" applyBorder="1" applyAlignment="1" applyProtection="1">
      <alignment/>
      <protection locked="0"/>
    </xf>
    <xf numFmtId="3" fontId="28" fillId="0" borderId="16" xfId="0" applyNumberFormat="1" applyFont="1" applyFill="1" applyBorder="1" applyAlignment="1" applyProtection="1">
      <alignment wrapText="1"/>
      <protection locked="0"/>
    </xf>
    <xf numFmtId="3" fontId="30" fillId="0" borderId="27" xfId="0" applyNumberFormat="1" applyFont="1" applyFill="1" applyBorder="1" applyAlignment="1" applyProtection="1">
      <alignment/>
      <protection locked="0"/>
    </xf>
    <xf numFmtId="3" fontId="1" fillId="0" borderId="76" xfId="0" applyNumberFormat="1" applyFont="1" applyFill="1" applyBorder="1" applyAlignment="1" applyProtection="1">
      <alignment horizontal="center" vertical="center"/>
      <protection hidden="1"/>
    </xf>
    <xf numFmtId="3" fontId="1" fillId="0" borderId="77" xfId="0" applyNumberFormat="1" applyFont="1" applyBorder="1" applyAlignment="1" applyProtection="1">
      <alignment vertical="center"/>
      <protection hidden="1"/>
    </xf>
    <xf numFmtId="3" fontId="1" fillId="0" borderId="77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Border="1" applyAlignment="1" applyProtection="1">
      <alignment vertical="center"/>
      <protection hidden="1"/>
    </xf>
    <xf numFmtId="3" fontId="1" fillId="0" borderId="79" xfId="0" applyNumberFormat="1" applyFont="1" applyBorder="1" applyAlignment="1" applyProtection="1">
      <alignment vertical="center"/>
      <protection hidden="1"/>
    </xf>
    <xf numFmtId="3" fontId="1" fillId="39" borderId="79" xfId="0" applyNumberFormat="1" applyFont="1" applyFill="1" applyBorder="1" applyAlignment="1" applyProtection="1">
      <alignment vertical="center"/>
      <protection hidden="1"/>
    </xf>
    <xf numFmtId="3" fontId="1" fillId="39" borderId="78" xfId="0" applyNumberFormat="1" applyFont="1" applyFill="1" applyBorder="1" applyAlignment="1" applyProtection="1">
      <alignment vertical="center"/>
      <protection hidden="1"/>
    </xf>
    <xf numFmtId="3" fontId="1" fillId="39" borderId="80" xfId="0" applyNumberFormat="1" applyFont="1" applyFill="1" applyBorder="1" applyAlignment="1" applyProtection="1">
      <alignment vertical="center"/>
      <protection hidden="1"/>
    </xf>
    <xf numFmtId="3" fontId="1" fillId="0" borderId="81" xfId="0" applyNumberFormat="1" applyFont="1" applyBorder="1" applyAlignment="1" applyProtection="1">
      <alignment vertical="center"/>
      <protection hidden="1"/>
    </xf>
    <xf numFmtId="3" fontId="1" fillId="0" borderId="82" xfId="0" applyNumberFormat="1" applyFont="1" applyBorder="1" applyAlignment="1" applyProtection="1">
      <alignment vertical="center"/>
      <protection hidden="1"/>
    </xf>
    <xf numFmtId="0" fontId="25" fillId="0" borderId="0" xfId="0" applyFont="1" applyAlignment="1">
      <alignment/>
    </xf>
    <xf numFmtId="0" fontId="6" fillId="0" borderId="45" xfId="61" applyFill="1" applyBorder="1" applyProtection="1">
      <alignment/>
      <protection hidden="1"/>
    </xf>
    <xf numFmtId="3" fontId="4" fillId="0" borderId="63" xfId="61" applyNumberFormat="1" applyFont="1" applyBorder="1" applyProtection="1">
      <alignment/>
      <protection hidden="1"/>
    </xf>
    <xf numFmtId="3" fontId="4" fillId="0" borderId="63" xfId="61" applyNumberFormat="1" applyFont="1" applyFill="1" applyBorder="1" applyProtection="1">
      <alignment/>
      <protection hidden="1"/>
    </xf>
    <xf numFmtId="3" fontId="4" fillId="0" borderId="64" xfId="61" applyNumberFormat="1" applyFont="1" applyBorder="1" applyProtection="1">
      <alignment/>
      <protection hidden="1"/>
    </xf>
    <xf numFmtId="3" fontId="4" fillId="0" borderId="93" xfId="61" applyNumberFormat="1" applyFont="1" applyBorder="1" applyProtection="1">
      <alignment/>
      <protection hidden="1"/>
    </xf>
    <xf numFmtId="3" fontId="4" fillId="0" borderId="67" xfId="61" applyNumberFormat="1" applyFont="1" applyBorder="1" applyProtection="1">
      <alignment/>
      <protection hidden="1"/>
    </xf>
    <xf numFmtId="3" fontId="4" fillId="0" borderId="94" xfId="61" applyNumberFormat="1" applyFont="1" applyBorder="1" applyProtection="1">
      <alignment/>
      <protection hidden="1"/>
    </xf>
    <xf numFmtId="3" fontId="4" fillId="0" borderId="66" xfId="61" applyNumberFormat="1" applyFont="1" applyBorder="1" applyProtection="1">
      <alignment/>
      <protection hidden="1"/>
    </xf>
    <xf numFmtId="3" fontId="2" fillId="0" borderId="52" xfId="0" applyNumberFormat="1" applyFont="1" applyFill="1" applyBorder="1" applyAlignment="1" applyProtection="1">
      <alignment horizontal="center"/>
      <protection hidden="1"/>
    </xf>
    <xf numFmtId="3" fontId="1" fillId="0" borderId="33" xfId="61" applyNumberFormat="1" applyFont="1" applyBorder="1" applyProtection="1">
      <alignment/>
      <protection hidden="1"/>
    </xf>
    <xf numFmtId="3" fontId="31" fillId="0" borderId="27" xfId="61" applyNumberFormat="1" applyFont="1" applyFill="1" applyBorder="1" applyAlignment="1" applyProtection="1">
      <alignment horizontal="center"/>
      <protection hidden="1"/>
    </xf>
    <xf numFmtId="3" fontId="28" fillId="0" borderId="63" xfId="61" applyNumberFormat="1" applyFont="1" applyBorder="1" applyProtection="1">
      <alignment/>
      <protection hidden="1"/>
    </xf>
    <xf numFmtId="3" fontId="28" fillId="0" borderId="63" xfId="61" applyNumberFormat="1" applyFont="1" applyFill="1" applyBorder="1" applyProtection="1">
      <alignment/>
      <protection hidden="1"/>
    </xf>
    <xf numFmtId="3" fontId="28" fillId="0" borderId="64" xfId="61" applyNumberFormat="1" applyFont="1" applyBorder="1" applyProtection="1">
      <alignment/>
      <protection hidden="1"/>
    </xf>
    <xf numFmtId="3" fontId="28" fillId="0" borderId="93" xfId="61" applyNumberFormat="1" applyFont="1" applyBorder="1" applyProtection="1">
      <alignment/>
      <protection hidden="1"/>
    </xf>
    <xf numFmtId="3" fontId="28" fillId="0" borderId="67" xfId="61" applyNumberFormat="1" applyFont="1" applyBorder="1" applyProtection="1">
      <alignment/>
      <protection hidden="1"/>
    </xf>
    <xf numFmtId="3" fontId="28" fillId="0" borderId="68" xfId="61" applyNumberFormat="1" applyFont="1" applyBorder="1" applyProtection="1">
      <alignment/>
      <protection hidden="1"/>
    </xf>
    <xf numFmtId="3" fontId="28" fillId="0" borderId="69" xfId="61" applyNumberFormat="1" applyFont="1" applyBorder="1" applyProtection="1">
      <alignment/>
      <protection hidden="1"/>
    </xf>
    <xf numFmtId="3" fontId="28" fillId="0" borderId="70" xfId="61" applyNumberFormat="1" applyFont="1" applyBorder="1" applyProtection="1">
      <alignment/>
      <protection hidden="1"/>
    </xf>
    <xf numFmtId="3" fontId="0" fillId="0" borderId="0" xfId="0" applyNumberFormat="1" applyAlignment="1">
      <alignment/>
    </xf>
    <xf numFmtId="0" fontId="14" fillId="0" borderId="0" xfId="57" applyFont="1" applyFill="1" applyAlignment="1">
      <alignment horizontal="left" vertical="center"/>
      <protection/>
    </xf>
    <xf numFmtId="0" fontId="15" fillId="0" borderId="0" xfId="57" applyFont="1" applyFill="1" applyAlignment="1">
      <alignment horizontal="left" vertical="center"/>
      <protection/>
    </xf>
    <xf numFmtId="3" fontId="30" fillId="0" borderId="53" xfId="61" applyNumberFormat="1" applyFont="1" applyBorder="1" applyAlignment="1" applyProtection="1">
      <alignment horizontal="center"/>
      <protection hidden="1"/>
    </xf>
    <xf numFmtId="3" fontId="30" fillId="0" borderId="54" xfId="61" applyNumberFormat="1" applyFont="1" applyBorder="1" applyAlignment="1" applyProtection="1">
      <alignment horizontal="center"/>
      <protection hidden="1"/>
    </xf>
    <xf numFmtId="3" fontId="30" fillId="0" borderId="95" xfId="61" applyNumberFormat="1" applyFont="1" applyBorder="1" applyAlignment="1" applyProtection="1">
      <alignment horizontal="center"/>
      <protection hidden="1"/>
    </xf>
    <xf numFmtId="3" fontId="30" fillId="0" borderId="96" xfId="61" applyNumberFormat="1" applyFont="1" applyBorder="1" applyAlignment="1" applyProtection="1">
      <alignment horizontal="center"/>
      <protection hidden="1"/>
    </xf>
    <xf numFmtId="3" fontId="30" fillId="0" borderId="90" xfId="61" applyNumberFormat="1" applyFont="1" applyBorder="1" applyAlignment="1" applyProtection="1">
      <alignment horizontal="center"/>
      <protection hidden="1"/>
    </xf>
    <xf numFmtId="3" fontId="30" fillId="0" borderId="62" xfId="61" applyNumberFormat="1" applyFont="1" applyBorder="1" applyAlignment="1" applyProtection="1">
      <alignment horizontal="center"/>
      <protection hidden="1"/>
    </xf>
    <xf numFmtId="3" fontId="30" fillId="0" borderId="55" xfId="61" applyNumberFormat="1" applyFont="1" applyBorder="1" applyAlignment="1" applyProtection="1">
      <alignment horizontal="center"/>
      <protection hidden="1"/>
    </xf>
    <xf numFmtId="3" fontId="30" fillId="0" borderId="56" xfId="61" applyNumberFormat="1" applyFont="1" applyBorder="1" applyAlignment="1" applyProtection="1">
      <alignment horizontal="center"/>
      <protection hidden="1"/>
    </xf>
    <xf numFmtId="3" fontId="30" fillId="0" borderId="97" xfId="61" applyNumberFormat="1" applyFont="1" applyBorder="1" applyAlignment="1" applyProtection="1">
      <alignment horizontal="center"/>
      <protection hidden="1"/>
    </xf>
    <xf numFmtId="3" fontId="30" fillId="0" borderId="25" xfId="61" applyNumberFormat="1" applyFont="1" applyBorder="1" applyAlignment="1" applyProtection="1">
      <alignment horizontal="center"/>
      <protection hidden="1"/>
    </xf>
    <xf numFmtId="3" fontId="30" fillId="0" borderId="70" xfId="61" applyNumberFormat="1" applyFont="1" applyBorder="1" applyAlignment="1" applyProtection="1">
      <alignment horizontal="center"/>
      <protection hidden="1"/>
    </xf>
    <xf numFmtId="3" fontId="83" fillId="12" borderId="0" xfId="50" applyNumberFormat="1" applyFont="1" applyFill="1" applyAlignment="1">
      <alignment wrapText="1"/>
      <protection/>
    </xf>
    <xf numFmtId="0" fontId="84" fillId="12" borderId="0" xfId="0" applyFont="1" applyFill="1" applyAlignment="1">
      <alignment wrapText="1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504 - řada na rok 2005" xfId="49"/>
    <cellStyle name="normální_graf za pedagogy nový" xfId="50"/>
    <cellStyle name="normální_Grafy" xfId="51"/>
    <cellStyle name="normální_Kapitolní sešit grafy" xfId="52"/>
    <cellStyle name="normální_maketa dle zákona" xfId="53"/>
    <cellStyle name="normální_MF 03-příloha 4 - SR 2008(23  8 07)" xfId="54"/>
    <cellStyle name="normální_MF-03-příloha 4 - SR 2009(19  8  2008)" xfId="55"/>
    <cellStyle name="normální_Příloha č 3 vzoru rozpis dopisu" xfId="56"/>
    <cellStyle name="normální_přílohy" xfId="57"/>
    <cellStyle name="normální_tabulky k vyhl. 324 dle vlády 12-8-MŠMT" xfId="58"/>
    <cellStyle name="normální_tabulky k vyhl. 324 dle vlády 2008 " xfId="59"/>
    <cellStyle name="normální_Výprava MF 15.8. Přílohy z vyhlášky" xfId="60"/>
    <cellStyle name="normální_Vzor RO" xfId="61"/>
    <cellStyle name="normální_zákonová tabulka 504U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 č. 1 Vývoj výdajů MŠMT na školství v letech 2000-2009 
(v mld.Kč)</a:t>
            </a:r>
          </a:p>
        </c:rich>
      </c:tx>
      <c:layout>
        <c:manualLayout>
          <c:xMode val="factor"/>
          <c:yMode val="factor"/>
          <c:x val="-0.025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8425"/>
          <c:w val="0.827"/>
          <c:h val="0.7745"/>
        </c:manualLayout>
      </c:layout>
      <c:areaChart>
        <c:grouping val="stacked"/>
        <c:varyColors val="0"/>
        <c:ser>
          <c:idx val="0"/>
          <c:order val="0"/>
          <c:tx>
            <c:strRef>
              <c:f>'data ke G nová'!$A$5</c:f>
              <c:strCache>
                <c:ptCount val="1"/>
                <c:pt idx="0">
                  <c:v>Regionální školství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nová'!$B$4:$K$4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nová'!$B$5:$K$5</c:f>
              <c:numCache>
                <c:ptCount val="10"/>
                <c:pt idx="0">
                  <c:v>52.9</c:v>
                </c:pt>
                <c:pt idx="1">
                  <c:v>58.3</c:v>
                </c:pt>
                <c:pt idx="2">
                  <c:v>58.592999999999996</c:v>
                </c:pt>
                <c:pt idx="3">
                  <c:v>66.406</c:v>
                </c:pt>
                <c:pt idx="4">
                  <c:v>67.737</c:v>
                </c:pt>
                <c:pt idx="5">
                  <c:v>71.63000000000001</c:v>
                </c:pt>
                <c:pt idx="6">
                  <c:v>75.57000000000001</c:v>
                </c:pt>
                <c:pt idx="7">
                  <c:v>77.795</c:v>
                </c:pt>
                <c:pt idx="8">
                  <c:v>79.80000000000001</c:v>
                </c:pt>
                <c:pt idx="9">
                  <c:v>84.7</c:v>
                </c:pt>
              </c:numCache>
            </c:numRef>
          </c:val>
        </c:ser>
        <c:ser>
          <c:idx val="1"/>
          <c:order val="1"/>
          <c:tx>
            <c:strRef>
              <c:f>'data ke G nová'!$A$6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nová'!$B$4:$K$4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nová'!$B$6:$K$6</c:f>
              <c:numCache>
                <c:ptCount val="10"/>
                <c:pt idx="0">
                  <c:v>10.642</c:v>
                </c:pt>
                <c:pt idx="1">
                  <c:v>11.581</c:v>
                </c:pt>
                <c:pt idx="2">
                  <c:v>13.716</c:v>
                </c:pt>
                <c:pt idx="3">
                  <c:v>15.222</c:v>
                </c:pt>
                <c:pt idx="4">
                  <c:v>17.974</c:v>
                </c:pt>
                <c:pt idx="5">
                  <c:v>20.134</c:v>
                </c:pt>
                <c:pt idx="6">
                  <c:v>22.213</c:v>
                </c:pt>
                <c:pt idx="7">
                  <c:v>23.040999999999997</c:v>
                </c:pt>
                <c:pt idx="8">
                  <c:v>24.1</c:v>
                </c:pt>
                <c:pt idx="9">
                  <c:v>24.6</c:v>
                </c:pt>
              </c:numCache>
            </c:numRef>
          </c:val>
        </c:ser>
        <c:ser>
          <c:idx val="2"/>
          <c:order val="2"/>
          <c:tx>
            <c:strRef>
              <c:f>'data ke G nová'!$A$7</c:f>
              <c:strCache>
                <c:ptCount val="1"/>
                <c:pt idx="0">
                  <c:v>Výzkum a vývoj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nová'!$B$4:$K$4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nová'!$B$7:$K$7</c:f>
              <c:numCache>
                <c:ptCount val="10"/>
                <c:pt idx="0">
                  <c:v>3.937</c:v>
                </c:pt>
                <c:pt idx="1">
                  <c:v>4.014</c:v>
                </c:pt>
                <c:pt idx="2">
                  <c:v>4.01</c:v>
                </c:pt>
                <c:pt idx="3">
                  <c:v>4.982</c:v>
                </c:pt>
                <c:pt idx="4">
                  <c:v>4.688</c:v>
                </c:pt>
                <c:pt idx="5">
                  <c:v>5.478</c:v>
                </c:pt>
                <c:pt idx="6">
                  <c:v>6.766</c:v>
                </c:pt>
                <c:pt idx="7">
                  <c:v>7.7330000000000005</c:v>
                </c:pt>
                <c:pt idx="8">
                  <c:v>8.209</c:v>
                </c:pt>
                <c:pt idx="9">
                  <c:v>9.8</c:v>
                </c:pt>
              </c:numCache>
            </c:numRef>
          </c:val>
        </c:ser>
        <c:ser>
          <c:idx val="3"/>
          <c:order val="3"/>
          <c:tx>
            <c:strRef>
              <c:f>'data ke G nová'!$A$8</c:f>
              <c:strCache>
                <c:ptCount val="1"/>
                <c:pt idx="0">
                  <c:v>Ostatní výdaje (vč. oblasti mládeže a sportu)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nová'!$B$4:$K$4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nová'!$B$8:$K$8</c:f>
              <c:numCache>
                <c:ptCount val="10"/>
                <c:pt idx="0">
                  <c:v>3.3209999999999993</c:v>
                </c:pt>
                <c:pt idx="1">
                  <c:v>6.605000000000003</c:v>
                </c:pt>
                <c:pt idx="2">
                  <c:v>4.881000000000007</c:v>
                </c:pt>
                <c:pt idx="3">
                  <c:v>3.4899999999999887</c:v>
                </c:pt>
                <c:pt idx="4">
                  <c:v>3.5910000000000055</c:v>
                </c:pt>
                <c:pt idx="5">
                  <c:v>3.675999999999993</c:v>
                </c:pt>
                <c:pt idx="6">
                  <c:v>3.9189999999999974</c:v>
                </c:pt>
                <c:pt idx="7">
                  <c:v>6.575000000000004</c:v>
                </c:pt>
                <c:pt idx="8">
                  <c:v>6.50162699999999</c:v>
                </c:pt>
                <c:pt idx="9">
                  <c:v>5.163999999999984</c:v>
                </c:pt>
              </c:numCache>
            </c:numRef>
          </c:val>
        </c:ser>
        <c:ser>
          <c:idx val="4"/>
          <c:order val="4"/>
          <c:tx>
            <c:strRef>
              <c:f>'data ke G nová'!$A$9</c:f>
              <c:strCache>
                <c:ptCount val="1"/>
                <c:pt idx="0">
                  <c:v>Výdaje z rozpočtu EU na spolufin. projekty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nová'!$B$4:$K$4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nová'!$B$9:$K$9</c:f>
              <c:numCache>
                <c:ptCount val="10"/>
                <c:pt idx="4">
                  <c:v>0.01</c:v>
                </c:pt>
                <c:pt idx="5">
                  <c:v>0.282</c:v>
                </c:pt>
                <c:pt idx="6">
                  <c:v>0.432</c:v>
                </c:pt>
                <c:pt idx="7">
                  <c:v>6.556</c:v>
                </c:pt>
                <c:pt idx="8">
                  <c:v>0.5893729999999999</c:v>
                </c:pt>
                <c:pt idx="9">
                  <c:v>10.436</c:v>
                </c:pt>
              </c:numCache>
            </c:numRef>
          </c:val>
        </c:ser>
        <c:axId val="62325007"/>
        <c:axId val="24054152"/>
      </c:area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 val="autoZero"/>
        <c:auto val="1"/>
        <c:lblOffset val="100"/>
        <c:tickLblSkip val="1"/>
        <c:noMultiLvlLbl val="0"/>
      </c:catAx>
      <c:valAx>
        <c:axId val="24054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50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5"/>
          <c:y val="0.2"/>
          <c:w val="0.1105"/>
          <c:h val="0.71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Graf č. 2 Vývoj průměrného měsíčního platu </a:t>
            </a:r>
            <a:r>
              <a:rPr lang="en-US" cap="none" sz="1600" b="1" i="0" u="sng" baseline="0">
                <a:solidFill>
                  <a:srgbClr val="000000"/>
                </a:solidFill>
              </a:rPr>
              <a:t>pedagogů v RegŠ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v letech 2000-2009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3275"/>
          <c:w val="0.62675"/>
          <c:h val="0.79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ke G nová'!$A$19</c:f>
              <c:strCache>
                <c:ptCount val="1"/>
                <c:pt idx="0">
                  <c:v>Průměrný plat v celé ČR (zdroj ČSÚ ...  prognóza pro rok 2009 není k dispozici)</c:v>
                </c:pt>
              </c:strCache>
            </c:strRef>
          </c:tx>
          <c:spPr>
            <a:solidFill>
              <a:srgbClr val="00B0F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nová'!$B$17:$K$17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nová'!$B$19:$K$19</c:f>
              <c:numCache>
                <c:ptCount val="10"/>
                <c:pt idx="0">
                  <c:v>14029</c:v>
                </c:pt>
                <c:pt idx="1">
                  <c:v>15248</c:v>
                </c:pt>
                <c:pt idx="2">
                  <c:v>16363</c:v>
                </c:pt>
                <c:pt idx="3">
                  <c:v>17443</c:v>
                </c:pt>
                <c:pt idx="4">
                  <c:v>18583</c:v>
                </c:pt>
                <c:pt idx="5">
                  <c:v>19584</c:v>
                </c:pt>
                <c:pt idx="6">
                  <c:v>20844</c:v>
                </c:pt>
                <c:pt idx="7">
                  <c:v>22382</c:v>
                </c:pt>
                <c:pt idx="8">
                  <c:v>24282</c:v>
                </c:pt>
              </c:numCache>
            </c:numRef>
          </c:val>
        </c:ser>
        <c:ser>
          <c:idx val="2"/>
          <c:order val="2"/>
          <c:tx>
            <c:strRef>
              <c:f>'data ke G nová'!$A$20</c:f>
              <c:strCache>
                <c:ptCount val="1"/>
                <c:pt idx="0">
                  <c:v>Průměrný plat v rozpočtové sféře                 (zdroj ČSÚ … prognóza pro rok 2009 není k dispozici)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nová'!$B$17:$K$17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nová'!$B$20:$K$20</c:f>
              <c:numCache>
                <c:ptCount val="10"/>
                <c:pt idx="0">
                  <c:v>13457</c:v>
                </c:pt>
                <c:pt idx="1">
                  <c:v>14733</c:v>
                </c:pt>
                <c:pt idx="2">
                  <c:v>16197</c:v>
                </c:pt>
                <c:pt idx="3">
                  <c:v>17692</c:v>
                </c:pt>
                <c:pt idx="4">
                  <c:v>18713</c:v>
                </c:pt>
                <c:pt idx="5">
                  <c:v>19876</c:v>
                </c:pt>
                <c:pt idx="6">
                  <c:v>20975</c:v>
                </c:pt>
                <c:pt idx="7">
                  <c:v>22387</c:v>
                </c:pt>
                <c:pt idx="8">
                  <c:v>23337</c:v>
                </c:pt>
              </c:numCache>
            </c:numRef>
          </c:val>
        </c:ser>
        <c:axId val="15160777"/>
        <c:axId val="2229266"/>
      </c:barChart>
      <c:lineChart>
        <c:grouping val="standard"/>
        <c:varyColors val="0"/>
        <c:ser>
          <c:idx val="0"/>
          <c:order val="0"/>
          <c:tx>
            <c:strRef>
              <c:f>'data ke G nová'!$A$18</c:f>
              <c:strCache>
                <c:ptCount val="1"/>
                <c:pt idx="0">
                  <c:v>Průměrný plat pedagogů v RegŠ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ke G nová'!$B$17:$K$17</c:f>
              <c:strCache>
                <c:ptCount val="10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  <c:pt idx="9">
                  <c:v>rok 2009</c:v>
                </c:pt>
              </c:strCache>
            </c:strRef>
          </c:cat>
          <c:val>
            <c:numRef>
              <c:f>'data ke G nová'!$B$18:$K$18</c:f>
              <c:numCache>
                <c:ptCount val="10"/>
                <c:pt idx="0">
                  <c:v>13336</c:v>
                </c:pt>
                <c:pt idx="1">
                  <c:v>15013</c:v>
                </c:pt>
                <c:pt idx="2">
                  <c:v>16315</c:v>
                </c:pt>
                <c:pt idx="3">
                  <c:v>18225</c:v>
                </c:pt>
                <c:pt idx="4">
                  <c:v>19480</c:v>
                </c:pt>
                <c:pt idx="5">
                  <c:v>20740</c:v>
                </c:pt>
                <c:pt idx="6">
                  <c:v>21915</c:v>
                </c:pt>
                <c:pt idx="7">
                  <c:v>23048</c:v>
                </c:pt>
                <c:pt idx="8">
                  <c:v>23777</c:v>
                </c:pt>
                <c:pt idx="9">
                  <c:v>25465</c:v>
                </c:pt>
              </c:numCache>
            </c:numRef>
          </c:val>
          <c:smooth val="0"/>
        </c:ser>
        <c:axId val="15160777"/>
        <c:axId val="2229266"/>
      </c:line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266"/>
        <c:crosses val="autoZero"/>
        <c:auto val="1"/>
        <c:lblOffset val="100"/>
        <c:tickLblSkip val="1"/>
        <c:noMultiLvlLbl val="0"/>
      </c:catAx>
      <c:valAx>
        <c:axId val="2229266"/>
        <c:scaling>
          <c:orientation val="minMax"/>
          <c:max val="26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plat v Kč 
stanovený na přepočtený počet osob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60777"/>
        <c:crossesAt val="1"/>
        <c:crossBetween val="between"/>
        <c:dispUnits/>
        <c:majorUnit val="2000"/>
      </c:valAx>
      <c:spPr>
        <a:noFill/>
        <a:ln w="25400">
          <a:solidFill>
            <a:srgbClr val="800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9825"/>
          <c:w val="0.1845"/>
          <c:h val="0.4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 3 Vnitřní členění rozpočtu MŠMT do výdajových bloků v roce 2009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45"/>
          <c:y val="0.27125"/>
          <c:w val="0.31225"/>
          <c:h val="0.56375"/>
        </c:manualLayout>
      </c:layout>
      <c:pieChart>
        <c:varyColors val="1"/>
        <c:ser>
          <c:idx val="0"/>
          <c:order val="0"/>
          <c:tx>
            <c:strRef>
              <c:f>'data ke G nová'!$A$28</c:f>
              <c:strCache>
                <c:ptCount val="1"/>
                <c:pt idx="0">
                  <c:v>Návrh rozpočtu na rok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ke G nová'!$B$27:$G$27</c:f>
              <c:strCache>
                <c:ptCount val="6"/>
                <c:pt idx="0">
                  <c:v>Přímé výdaje regionálního školství a PŘO</c:v>
                </c:pt>
                <c:pt idx="1">
                  <c:v>Vysoké školy </c:v>
                </c:pt>
                <c:pt idx="2">
                  <c:v>Výzkum a vývoj                                         (vč. programů spolufin.                           z rozpočtu EU)</c:v>
                </c:pt>
                <c:pt idx="3">
                  <c:v>Mládež a sport</c:v>
                </c:pt>
                <c:pt idx="4">
                  <c:v>Programy spolufinancované z rozpočtu EU a z fin.mechanismů (mimo VaV)</c:v>
                </c:pt>
                <c:pt idx="5">
                  <c:v>Ostatní výdaje</c:v>
                </c:pt>
              </c:strCache>
            </c:strRef>
          </c:cat>
          <c:val>
            <c:numRef>
              <c:f>'data ke G nová'!$B$28:$G$28</c:f>
              <c:numCache>
                <c:ptCount val="6"/>
                <c:pt idx="0">
                  <c:v>84.7</c:v>
                </c:pt>
                <c:pt idx="1">
                  <c:v>24.6</c:v>
                </c:pt>
                <c:pt idx="2">
                  <c:v>14.5</c:v>
                </c:pt>
                <c:pt idx="3">
                  <c:v>2.1</c:v>
                </c:pt>
                <c:pt idx="4">
                  <c:v>6.8</c:v>
                </c:pt>
                <c:pt idx="5">
                  <c:v>1.999999999999985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5905511811023623" top="0.984251968503937" bottom="0.984251968503937" header="0.984251968503937" footer="0.5118110236220472"/>
  <pageSetup horizontalDpi="600" verticalDpi="600" orientation="landscape" paperSize="9"/>
  <headerFooter>
    <oddHeader>&amp;R&amp;"Arial,Kurzíva"Kapitola  A.
&amp;"Arial,Tučné"Graf č.1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984251968503937" bottom="0.984251968503937" header="0.984251968503937" footer="0.5118110236220472"/>
  <pageSetup horizontalDpi="600" verticalDpi="600" orientation="landscape" paperSize="9"/>
  <headerFooter>
    <oddHeader>&amp;R&amp;"Arial,Kurzíva"Kapitola A.&amp;"Arial,Obyčejné"
&amp;"Arial,Tučné"Graf č.2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5905511811023623" right="0.5905511811023623" top="0.984251968503937" bottom="0.984251968503937" header="0.984251968503937" footer="0.5118110236220472"/>
  <pageSetup horizontalDpi="600" verticalDpi="600" orientation="landscape" paperSize="9"/>
  <headerFooter>
    <oddHeader>&amp;R&amp;"Arial,Kurzíva"Kapitola A.&amp;"Arial,Obyčejné"
&amp;"Arial,Tučné"Graf č.3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58275" cy="5524500"/>
    <xdr:graphicFrame>
      <xdr:nvGraphicFramePr>
        <xdr:cNvPr id="1" name="Chart 1"/>
        <xdr:cNvGraphicFramePr/>
      </xdr:nvGraphicFramePr>
      <xdr:xfrm>
        <a:off x="832256400" y="832256400"/>
        <a:ext cx="90582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24500"/>
    <xdr:graphicFrame>
      <xdr:nvGraphicFramePr>
        <xdr:cNvPr id="1" name="Shape 1025"/>
        <xdr:cNvGraphicFramePr/>
      </xdr:nvGraphicFramePr>
      <xdr:xfrm>
        <a:off x="832256400" y="832256400"/>
        <a:ext cx="92392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095875"/>
    <xdr:graphicFrame>
      <xdr:nvGraphicFramePr>
        <xdr:cNvPr id="1" name="Shape 1025"/>
        <xdr:cNvGraphicFramePr/>
      </xdr:nvGraphicFramePr>
      <xdr:xfrm>
        <a:off x="832256400" y="832256400"/>
        <a:ext cx="92106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kesova\Local%20Settings\Temporary%20Internet%20Files\OLK3F\MF%2003%20SR-2007-p&#345;&#237;loha%204%20z&#225;kona(8.9.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-1"/>
      <sheetName val="313-MPSV-2"/>
      <sheetName val="314-MV-1"/>
      <sheetName val="314-MV-2"/>
      <sheetName val="315-MŽP"/>
      <sheetName val="317-MMR"/>
      <sheetName val="321-GA"/>
      <sheetName val="322-MPO"/>
      <sheetName val="327-MD"/>
      <sheetName val="328-ČTÚ"/>
      <sheetName val="329-MZe"/>
      <sheetName val="334-MK-1"/>
      <sheetName val="334-MK-2"/>
      <sheetName val="335-MZd"/>
      <sheetName val="336-MSp"/>
      <sheetName val="338-MI"/>
      <sheetName val="343-ÚOOÚ"/>
      <sheetName val="344-ÚPV"/>
      <sheetName val="345-ČSÚ"/>
      <sheetName val="346-ČÚZK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9.140625" style="36" customWidth="1"/>
    <col min="2" max="2" width="90.421875" style="36" customWidth="1"/>
    <col min="3" max="3" width="11.7109375" style="37" customWidth="1"/>
    <col min="4" max="4" width="10.140625" style="36" customWidth="1"/>
    <col min="5" max="16384" width="9.140625" style="36" customWidth="1"/>
  </cols>
  <sheetData>
    <row r="1" spans="1:3" ht="18">
      <c r="A1" s="97" t="s">
        <v>237</v>
      </c>
      <c r="B1" s="40"/>
      <c r="C1" s="41"/>
    </row>
    <row r="2" spans="1:3" ht="18">
      <c r="A2" s="36" t="s">
        <v>238</v>
      </c>
      <c r="B2" s="40"/>
      <c r="C2" s="41"/>
    </row>
    <row r="3" spans="1:3" ht="12.75" customHeight="1" thickBot="1">
      <c r="A3" s="39"/>
      <c r="B3" s="40"/>
      <c r="C3" s="38" t="s">
        <v>281</v>
      </c>
    </row>
    <row r="4" spans="1:3" ht="15" customHeight="1">
      <c r="A4" s="42" t="s">
        <v>186</v>
      </c>
      <c r="B4" s="43"/>
      <c r="C4" s="44"/>
    </row>
    <row r="5" spans="1:3" ht="12.75">
      <c r="A5" s="45"/>
      <c r="B5" s="46" t="s">
        <v>187</v>
      </c>
      <c r="C5" s="47">
        <v>10464879</v>
      </c>
    </row>
    <row r="6" spans="1:4" ht="12.75">
      <c r="A6" s="48"/>
      <c r="B6" s="49" t="s">
        <v>188</v>
      </c>
      <c r="C6" s="50">
        <v>134661633</v>
      </c>
      <c r="D6" s="51"/>
    </row>
    <row r="7" spans="1:3" ht="15" customHeight="1">
      <c r="A7" s="52" t="s">
        <v>189</v>
      </c>
      <c r="B7" s="53"/>
      <c r="C7" s="54"/>
    </row>
    <row r="8" spans="1:3" ht="12.75" customHeight="1">
      <c r="A8" s="52"/>
      <c r="B8" s="55" t="s">
        <v>190</v>
      </c>
      <c r="C8" s="56">
        <v>400</v>
      </c>
    </row>
    <row r="9" spans="1:3" ht="12.75" customHeight="1">
      <c r="A9" s="45"/>
      <c r="B9" s="57" t="s">
        <v>191</v>
      </c>
      <c r="C9" s="47">
        <v>10464479</v>
      </c>
    </row>
    <row r="10" spans="1:3" ht="12.75">
      <c r="A10" s="45"/>
      <c r="B10" s="58" t="s">
        <v>240</v>
      </c>
      <c r="C10" s="47">
        <v>0</v>
      </c>
    </row>
    <row r="11" spans="1:3" ht="12.75">
      <c r="A11" s="45"/>
      <c r="B11" s="58" t="s">
        <v>241</v>
      </c>
      <c r="C11" s="47">
        <v>10436311</v>
      </c>
    </row>
    <row r="12" spans="1:3" ht="12.75" customHeight="1">
      <c r="A12" s="45"/>
      <c r="B12" s="59" t="s">
        <v>192</v>
      </c>
      <c r="C12" s="47">
        <v>19431</v>
      </c>
    </row>
    <row r="13" spans="1:3" ht="12.75" customHeight="1">
      <c r="A13" s="45"/>
      <c r="B13" s="60" t="s">
        <v>193</v>
      </c>
      <c r="C13" s="47">
        <v>8737</v>
      </c>
    </row>
    <row r="14" spans="1:3" ht="15" customHeight="1">
      <c r="A14" s="61" t="s">
        <v>194</v>
      </c>
      <c r="B14" s="62"/>
      <c r="C14" s="54"/>
    </row>
    <row r="15" spans="1:3" ht="12.75" customHeight="1">
      <c r="A15" s="63"/>
      <c r="B15" s="64" t="s">
        <v>195</v>
      </c>
      <c r="C15" s="47">
        <v>39100049</v>
      </c>
    </row>
    <row r="16" spans="1:3" ht="12.75" customHeight="1">
      <c r="A16" s="63"/>
      <c r="B16" s="65" t="s">
        <v>196</v>
      </c>
      <c r="C16" s="47">
        <v>24640250</v>
      </c>
    </row>
    <row r="17" spans="1:3" ht="12.75" customHeight="1">
      <c r="A17" s="63"/>
      <c r="B17" s="65" t="s">
        <v>197</v>
      </c>
      <c r="C17" s="47">
        <v>14459799</v>
      </c>
    </row>
    <row r="18" spans="1:3" ht="12.75" customHeight="1">
      <c r="A18" s="63"/>
      <c r="B18" s="65" t="s">
        <v>198</v>
      </c>
      <c r="C18" s="66">
        <f>334448+84355769</f>
        <v>84690217</v>
      </c>
    </row>
    <row r="19" spans="1:3" ht="12.75" customHeight="1">
      <c r="A19" s="63"/>
      <c r="B19" s="67" t="s">
        <v>199</v>
      </c>
      <c r="C19" s="47">
        <v>228951</v>
      </c>
    </row>
    <row r="20" spans="1:3" ht="12.75" customHeight="1">
      <c r="A20" s="63"/>
      <c r="B20" s="67" t="s">
        <v>200</v>
      </c>
      <c r="C20" s="47">
        <f>1024+1900502</f>
        <v>1901526</v>
      </c>
    </row>
    <row r="21" spans="1:3" ht="12.75" customHeight="1">
      <c r="A21" s="63"/>
      <c r="B21" s="67" t="s">
        <v>201</v>
      </c>
      <c r="C21" s="47">
        <f>1024+987878</f>
        <v>988902</v>
      </c>
    </row>
    <row r="22" spans="1:3" ht="12.75" customHeight="1">
      <c r="A22" s="63"/>
      <c r="B22" s="67" t="s">
        <v>202</v>
      </c>
      <c r="C22" s="47">
        <v>912624</v>
      </c>
    </row>
    <row r="23" spans="1:3" ht="12.75" customHeight="1">
      <c r="A23" s="63"/>
      <c r="B23" s="68" t="s">
        <v>203</v>
      </c>
      <c r="C23" s="47">
        <v>6752050</v>
      </c>
    </row>
    <row r="24" spans="1:3" ht="12.75" customHeight="1">
      <c r="A24" s="63"/>
      <c r="B24" s="67" t="s">
        <v>204</v>
      </c>
      <c r="C24" s="47">
        <f>25906+1962934</f>
        <v>1988840</v>
      </c>
    </row>
    <row r="25" spans="1:3" ht="12.75" customHeight="1">
      <c r="A25" s="63"/>
      <c r="B25" s="67" t="s">
        <v>205</v>
      </c>
      <c r="C25" s="69">
        <v>153450</v>
      </c>
    </row>
    <row r="26" spans="1:3" ht="15" customHeight="1">
      <c r="A26" s="63"/>
      <c r="B26" s="67" t="s">
        <v>206</v>
      </c>
      <c r="C26" s="47">
        <v>44489</v>
      </c>
    </row>
    <row r="27" spans="1:3" ht="12.75" customHeight="1">
      <c r="A27" s="63"/>
      <c r="B27" s="70" t="s">
        <v>207</v>
      </c>
      <c r="C27" s="47">
        <v>19000</v>
      </c>
    </row>
    <row r="28" spans="1:3" ht="12.75" customHeight="1">
      <c r="A28" s="63"/>
      <c r="B28" s="71" t="s">
        <v>208</v>
      </c>
      <c r="C28" s="47">
        <f>25906+1745995</f>
        <v>1771901</v>
      </c>
    </row>
    <row r="29" spans="1:3" ht="15" customHeight="1">
      <c r="A29" s="72" t="s">
        <v>209</v>
      </c>
      <c r="B29" s="73"/>
      <c r="C29" s="74"/>
    </row>
    <row r="30" spans="1:3" ht="12.75">
      <c r="A30" s="75"/>
      <c r="B30" s="76" t="s">
        <v>210</v>
      </c>
      <c r="C30" s="47">
        <f>11618+534230</f>
        <v>545848</v>
      </c>
    </row>
    <row r="31" spans="1:3" ht="14.25">
      <c r="A31" s="75"/>
      <c r="B31" s="77" t="s">
        <v>211</v>
      </c>
      <c r="C31" s="69">
        <f>3951+176646</f>
        <v>180597</v>
      </c>
    </row>
    <row r="32" spans="1:3" ht="12.75">
      <c r="A32" s="75"/>
      <c r="B32" s="77" t="s">
        <v>212</v>
      </c>
      <c r="C32" s="47">
        <f>233+9627</f>
        <v>9860</v>
      </c>
    </row>
    <row r="33" spans="1:3" ht="14.25">
      <c r="A33" s="75"/>
      <c r="B33" s="77" t="s">
        <v>213</v>
      </c>
      <c r="C33" s="47">
        <f>11618+484197</f>
        <v>495815</v>
      </c>
    </row>
    <row r="34" spans="1:3" ht="14.25">
      <c r="A34" s="75"/>
      <c r="B34" s="78" t="s">
        <v>214</v>
      </c>
      <c r="C34" s="47">
        <v>14459799</v>
      </c>
    </row>
    <row r="35" spans="1:3" ht="12.75">
      <c r="A35" s="75"/>
      <c r="B35" s="79" t="s">
        <v>215</v>
      </c>
      <c r="C35" s="47">
        <v>9744379</v>
      </c>
    </row>
    <row r="36" spans="1:3" ht="14.25">
      <c r="A36" s="75"/>
      <c r="B36" s="80" t="s">
        <v>216</v>
      </c>
      <c r="C36" s="47">
        <v>6978160</v>
      </c>
    </row>
    <row r="37" spans="1:3" ht="14.25">
      <c r="A37" s="75"/>
      <c r="B37" s="80" t="s">
        <v>217</v>
      </c>
      <c r="C37" s="47">
        <v>2766219</v>
      </c>
    </row>
    <row r="38" spans="1:3" ht="14.25">
      <c r="A38" s="75"/>
      <c r="B38" s="81" t="s">
        <v>218</v>
      </c>
      <c r="C38" s="47">
        <v>4715420</v>
      </c>
    </row>
    <row r="39" spans="1:3" ht="14.25">
      <c r="A39" s="75"/>
      <c r="B39" s="80" t="s">
        <v>219</v>
      </c>
      <c r="C39" s="47">
        <v>1470524</v>
      </c>
    </row>
    <row r="40" spans="1:3" ht="14.25">
      <c r="A40" s="75"/>
      <c r="B40" s="80" t="s">
        <v>220</v>
      </c>
      <c r="C40" s="47">
        <v>1285695</v>
      </c>
    </row>
    <row r="41" spans="1:3" ht="14.25">
      <c r="A41" s="75"/>
      <c r="B41" s="80" t="s">
        <v>221</v>
      </c>
      <c r="C41" s="47">
        <v>0</v>
      </c>
    </row>
    <row r="42" spans="1:3" ht="14.25">
      <c r="A42" s="75"/>
      <c r="B42" s="80" t="s">
        <v>222</v>
      </c>
      <c r="C42" s="47">
        <v>1047356</v>
      </c>
    </row>
    <row r="43" spans="1:3" ht="14.25">
      <c r="A43" s="75"/>
      <c r="B43" s="80" t="s">
        <v>223</v>
      </c>
      <c r="C43" s="47">
        <v>1901973</v>
      </c>
    </row>
    <row r="44" spans="1:3" ht="12.75">
      <c r="A44" s="85"/>
      <c r="B44" s="77" t="s">
        <v>159</v>
      </c>
      <c r="C44" s="86">
        <v>153450</v>
      </c>
    </row>
    <row r="45" spans="1:3" ht="12.75">
      <c r="A45" s="85"/>
      <c r="B45" s="87" t="s">
        <v>160</v>
      </c>
      <c r="C45" s="88">
        <v>10202</v>
      </c>
    </row>
    <row r="46" spans="1:3" ht="12.75">
      <c r="A46" s="85"/>
      <c r="B46" s="87" t="s">
        <v>224</v>
      </c>
      <c r="C46" s="88">
        <v>12702</v>
      </c>
    </row>
    <row r="47" spans="1:3" ht="12.75">
      <c r="A47" s="85"/>
      <c r="B47" s="87" t="s">
        <v>162</v>
      </c>
      <c r="C47" s="88">
        <v>25000</v>
      </c>
    </row>
    <row r="48" spans="1:3" ht="12.75">
      <c r="A48" s="85"/>
      <c r="B48" s="87" t="s">
        <v>225</v>
      </c>
      <c r="C48" s="88">
        <v>400</v>
      </c>
    </row>
    <row r="49" spans="1:3" ht="12.75">
      <c r="A49" s="75"/>
      <c r="B49" s="81" t="s">
        <v>239</v>
      </c>
      <c r="C49" s="88">
        <v>12305013</v>
      </c>
    </row>
    <row r="50" spans="1:3" ht="12.75">
      <c r="A50" s="75"/>
      <c r="B50" s="81" t="s">
        <v>226</v>
      </c>
      <c r="C50" s="88">
        <v>1868702</v>
      </c>
    </row>
    <row r="51" spans="1:3" ht="12.75">
      <c r="A51" s="75"/>
      <c r="B51" s="81" t="s">
        <v>227</v>
      </c>
      <c r="C51" s="88">
        <v>10436311</v>
      </c>
    </row>
    <row r="52" spans="1:3" ht="12.75">
      <c r="A52" s="75"/>
      <c r="B52" s="89" t="s">
        <v>228</v>
      </c>
      <c r="C52" s="88">
        <v>21590</v>
      </c>
    </row>
    <row r="53" spans="1:3" ht="12.75">
      <c r="A53" s="75"/>
      <c r="B53" s="87" t="s">
        <v>229</v>
      </c>
      <c r="C53" s="88">
        <v>2159</v>
      </c>
    </row>
    <row r="54" spans="1:3" ht="12.75">
      <c r="A54" s="75"/>
      <c r="B54" s="77" t="s">
        <v>230</v>
      </c>
      <c r="C54" s="88">
        <v>19431</v>
      </c>
    </row>
    <row r="55" spans="1:3" ht="13.5" thickBot="1">
      <c r="A55" s="90"/>
      <c r="B55" s="91" t="s">
        <v>231</v>
      </c>
      <c r="C55" s="92">
        <v>3996117</v>
      </c>
    </row>
    <row r="56" spans="1:3" ht="12.75">
      <c r="A56" s="82"/>
      <c r="B56" s="98"/>
      <c r="C56" s="99"/>
    </row>
    <row r="57" spans="1:3" ht="12.75">
      <c r="A57" s="83" t="s">
        <v>232</v>
      </c>
      <c r="C57" s="93"/>
    </row>
    <row r="58" spans="1:3" ht="12.75">
      <c r="A58" s="94" t="s">
        <v>233</v>
      </c>
      <c r="C58" s="36"/>
    </row>
    <row r="59" spans="1:3" ht="12.75">
      <c r="A59" s="83" t="s">
        <v>234</v>
      </c>
      <c r="B59" s="84"/>
      <c r="C59" s="36"/>
    </row>
    <row r="60" spans="1:3" ht="12.75">
      <c r="A60" s="83" t="s">
        <v>235</v>
      </c>
      <c r="B60" s="95"/>
      <c r="C60" s="51"/>
    </row>
    <row r="61" spans="1:3" ht="12.75">
      <c r="A61" s="94" t="s">
        <v>236</v>
      </c>
      <c r="C61" s="96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&amp;R&amp;"Arial,Kurzíva"Kapitola A.&amp;"Arial,Obyčejné"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.8515625" style="100" customWidth="1"/>
    <col min="2" max="2" width="84.421875" style="100" customWidth="1"/>
    <col min="3" max="3" width="14.28125" style="109" customWidth="1"/>
    <col min="4" max="4" width="8.8515625" style="123" bestFit="1" customWidth="1"/>
    <col min="5" max="5" width="12.00390625" style="123" bestFit="1" customWidth="1"/>
    <col min="6" max="6" width="11.28125" style="123" bestFit="1" customWidth="1"/>
    <col min="7" max="7" width="10.7109375" style="123" bestFit="1" customWidth="1"/>
    <col min="8" max="8" width="10.421875" style="123" bestFit="1" customWidth="1"/>
    <col min="9" max="9" width="14.28125" style="100" customWidth="1"/>
    <col min="10" max="10" width="15.421875" style="100" customWidth="1"/>
    <col min="11" max="11" width="9.57421875" style="100" bestFit="1" customWidth="1"/>
    <col min="12" max="12" width="14.00390625" style="100" customWidth="1"/>
    <col min="13" max="13" width="1.57421875" style="100" customWidth="1"/>
    <col min="14" max="16384" width="9.140625" style="100" customWidth="1"/>
  </cols>
  <sheetData>
    <row r="1" spans="1:12" ht="18">
      <c r="A1" s="435" t="s">
        <v>176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" s="36" customFormat="1" ht="18">
      <c r="A2" s="36" t="s">
        <v>258</v>
      </c>
      <c r="B2" s="40"/>
    </row>
    <row r="3" spans="1:12" ht="15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 t="s">
        <v>281</v>
      </c>
    </row>
    <row r="4" spans="1:12" ht="63.75">
      <c r="A4" s="101" t="s">
        <v>186</v>
      </c>
      <c r="B4" s="102"/>
      <c r="C4" s="157" t="s">
        <v>280</v>
      </c>
      <c r="D4" s="130" t="s">
        <v>242</v>
      </c>
      <c r="E4" s="130" t="s">
        <v>243</v>
      </c>
      <c r="F4" s="104" t="s">
        <v>244</v>
      </c>
      <c r="G4" s="104" t="s">
        <v>292</v>
      </c>
      <c r="H4" s="104" t="s">
        <v>245</v>
      </c>
      <c r="I4" s="103" t="s">
        <v>277</v>
      </c>
      <c r="J4" s="103" t="s">
        <v>278</v>
      </c>
      <c r="K4" s="104" t="s">
        <v>246</v>
      </c>
      <c r="L4" s="103" t="s">
        <v>279</v>
      </c>
    </row>
    <row r="5" spans="1:12" s="109" customFormat="1" ht="17.25" customHeight="1">
      <c r="A5" s="105"/>
      <c r="B5" s="106" t="s">
        <v>118</v>
      </c>
      <c r="C5" s="107">
        <v>9137</v>
      </c>
      <c r="D5" s="107"/>
      <c r="E5" s="107">
        <v>10436311</v>
      </c>
      <c r="F5" s="107">
        <v>19431</v>
      </c>
      <c r="G5" s="107"/>
      <c r="H5" s="107"/>
      <c r="I5" s="107">
        <f>SUM(C5:H5)</f>
        <v>10464879</v>
      </c>
      <c r="J5" s="107">
        <f>I5</f>
        <v>10464879</v>
      </c>
      <c r="K5" s="107"/>
      <c r="L5" s="107">
        <f>J5+K5</f>
        <v>10464879</v>
      </c>
    </row>
    <row r="6" spans="1:12" s="109" customFormat="1" ht="17.25" customHeight="1">
      <c r="A6" s="105"/>
      <c r="B6" s="106" t="s">
        <v>119</v>
      </c>
      <c r="C6" s="107">
        <v>122570143</v>
      </c>
      <c r="D6" s="107">
        <v>194370</v>
      </c>
      <c r="E6" s="107">
        <v>10436311</v>
      </c>
      <c r="F6" s="107">
        <v>19431</v>
      </c>
      <c r="G6" s="107">
        <v>80000</v>
      </c>
      <c r="H6" s="107">
        <v>1000000</v>
      </c>
      <c r="I6" s="107">
        <f aca="true" t="shared" si="0" ref="I6:I55">SUM(C6:H6)</f>
        <v>134300255</v>
      </c>
      <c r="J6" s="107">
        <f aca="true" t="shared" si="1" ref="J6:J55">I6</f>
        <v>134300255</v>
      </c>
      <c r="K6" s="107">
        <v>361378</v>
      </c>
      <c r="L6" s="107">
        <f aca="true" t="shared" si="2" ref="L6:L55">J6+K6</f>
        <v>134661633</v>
      </c>
    </row>
    <row r="7" spans="1:13" s="117" customFormat="1" ht="15.75" customHeight="1">
      <c r="A7" s="110" t="s">
        <v>247</v>
      </c>
      <c r="B7" s="111"/>
      <c r="C7" s="112"/>
      <c r="D7" s="113"/>
      <c r="E7" s="114"/>
      <c r="F7" s="113"/>
      <c r="G7" s="115"/>
      <c r="H7" s="113"/>
      <c r="I7" s="113"/>
      <c r="J7" s="113"/>
      <c r="K7" s="113"/>
      <c r="L7" s="116"/>
      <c r="M7" s="100"/>
    </row>
    <row r="8" spans="1:13" s="117" customFormat="1" ht="15.75" customHeight="1">
      <c r="A8" s="118"/>
      <c r="B8" s="119" t="s">
        <v>121</v>
      </c>
      <c r="C8" s="107">
        <v>400</v>
      </c>
      <c r="D8" s="108"/>
      <c r="E8" s="120"/>
      <c r="F8" s="108"/>
      <c r="G8" s="108"/>
      <c r="H8" s="108"/>
      <c r="I8" s="120">
        <f t="shared" si="0"/>
        <v>400</v>
      </c>
      <c r="J8" s="120">
        <f t="shared" si="1"/>
        <v>400</v>
      </c>
      <c r="K8" s="120"/>
      <c r="L8" s="107">
        <f t="shared" si="2"/>
        <v>400</v>
      </c>
      <c r="M8" s="100"/>
    </row>
    <row r="9" spans="1:13" s="117" customFormat="1" ht="12.75" customHeight="1">
      <c r="A9" s="121"/>
      <c r="B9" s="119" t="s">
        <v>122</v>
      </c>
      <c r="C9" s="107">
        <v>8737</v>
      </c>
      <c r="D9" s="108"/>
      <c r="E9" s="120">
        <v>10436311</v>
      </c>
      <c r="F9" s="108">
        <v>19431</v>
      </c>
      <c r="G9" s="108"/>
      <c r="H9" s="108"/>
      <c r="I9" s="120">
        <f t="shared" si="0"/>
        <v>10464479</v>
      </c>
      <c r="J9" s="120">
        <f t="shared" si="1"/>
        <v>10464479</v>
      </c>
      <c r="K9" s="120"/>
      <c r="L9" s="107">
        <f t="shared" si="2"/>
        <v>10464479</v>
      </c>
      <c r="M9" s="100"/>
    </row>
    <row r="10" spans="1:13" s="117" customFormat="1" ht="12.75" customHeight="1">
      <c r="A10" s="122"/>
      <c r="B10" s="119" t="s">
        <v>379</v>
      </c>
      <c r="C10" s="107">
        <v>0</v>
      </c>
      <c r="D10" s="108"/>
      <c r="E10" s="120"/>
      <c r="F10" s="108"/>
      <c r="G10" s="108"/>
      <c r="H10" s="108"/>
      <c r="I10" s="120"/>
      <c r="J10" s="120"/>
      <c r="K10" s="120"/>
      <c r="L10" s="107">
        <v>0</v>
      </c>
      <c r="M10" s="100"/>
    </row>
    <row r="11" spans="1:12" ht="12.75" customHeight="1">
      <c r="A11" s="122"/>
      <c r="B11" s="119" t="s">
        <v>380</v>
      </c>
      <c r="C11" s="107">
        <v>0</v>
      </c>
      <c r="D11" s="108"/>
      <c r="E11" s="120">
        <v>10436311</v>
      </c>
      <c r="F11" s="108"/>
      <c r="G11" s="108"/>
      <c r="H11" s="108"/>
      <c r="I11" s="120">
        <f t="shared" si="0"/>
        <v>10436311</v>
      </c>
      <c r="J11" s="120">
        <f t="shared" si="1"/>
        <v>10436311</v>
      </c>
      <c r="K11" s="120"/>
      <c r="L11" s="107">
        <f t="shared" si="2"/>
        <v>10436311</v>
      </c>
    </row>
    <row r="12" spans="1:12" ht="12.75" customHeight="1">
      <c r="A12" s="122"/>
      <c r="B12" s="119" t="s">
        <v>381</v>
      </c>
      <c r="C12" s="107">
        <v>0</v>
      </c>
      <c r="D12" s="108"/>
      <c r="E12" s="100"/>
      <c r="F12" s="120">
        <v>19431</v>
      </c>
      <c r="H12" s="108"/>
      <c r="I12" s="120">
        <f t="shared" si="0"/>
        <v>19431</v>
      </c>
      <c r="J12" s="120">
        <f t="shared" si="1"/>
        <v>19431</v>
      </c>
      <c r="K12" s="120"/>
      <c r="L12" s="107">
        <f t="shared" si="2"/>
        <v>19431</v>
      </c>
    </row>
    <row r="13" spans="1:12" ht="12.75" customHeight="1">
      <c r="A13" s="122"/>
      <c r="B13" s="124" t="s">
        <v>264</v>
      </c>
      <c r="C13" s="107">
        <v>8737</v>
      </c>
      <c r="D13" s="108"/>
      <c r="E13" s="120"/>
      <c r="F13" s="108"/>
      <c r="G13" s="108"/>
      <c r="H13" s="108"/>
      <c r="I13" s="120">
        <f t="shared" si="0"/>
        <v>8737</v>
      </c>
      <c r="J13" s="120">
        <f t="shared" si="1"/>
        <v>8737</v>
      </c>
      <c r="K13" s="120"/>
      <c r="L13" s="107">
        <f t="shared" si="2"/>
        <v>8737</v>
      </c>
    </row>
    <row r="14" spans="1:12" ht="15.75" customHeight="1">
      <c r="A14" s="110" t="s">
        <v>248</v>
      </c>
      <c r="B14" s="111"/>
      <c r="C14" s="112"/>
      <c r="D14" s="113"/>
      <c r="E14" s="114"/>
      <c r="F14" s="113"/>
      <c r="G14" s="115"/>
      <c r="H14" s="113"/>
      <c r="I14" s="113"/>
      <c r="J14" s="113"/>
      <c r="K14" s="113"/>
      <c r="L14" s="116"/>
    </row>
    <row r="15" spans="1:13" ht="12.75" customHeight="1">
      <c r="A15" s="122"/>
      <c r="B15" s="119" t="s">
        <v>195</v>
      </c>
      <c r="C15" s="107">
        <v>33384629</v>
      </c>
      <c r="D15" s="108"/>
      <c r="E15" s="120">
        <v>4715420</v>
      </c>
      <c r="F15" s="108"/>
      <c r="G15" s="108"/>
      <c r="H15" s="108">
        <v>1000000</v>
      </c>
      <c r="I15" s="120">
        <f t="shared" si="0"/>
        <v>39100049</v>
      </c>
      <c r="J15" s="120">
        <f t="shared" si="1"/>
        <v>39100049</v>
      </c>
      <c r="K15" s="120"/>
      <c r="L15" s="107">
        <f t="shared" si="2"/>
        <v>39100049</v>
      </c>
      <c r="M15" s="125"/>
    </row>
    <row r="16" spans="1:13" ht="12.75" customHeight="1">
      <c r="A16" s="122"/>
      <c r="B16" s="119" t="s">
        <v>129</v>
      </c>
      <c r="C16" s="107">
        <v>23640250</v>
      </c>
      <c r="D16" s="108"/>
      <c r="E16" s="120"/>
      <c r="F16" s="108"/>
      <c r="G16" s="108"/>
      <c r="H16" s="108">
        <v>1000000</v>
      </c>
      <c r="I16" s="120">
        <f t="shared" si="0"/>
        <v>24640250</v>
      </c>
      <c r="J16" s="120">
        <f t="shared" si="1"/>
        <v>24640250</v>
      </c>
      <c r="K16" s="120"/>
      <c r="L16" s="107">
        <f t="shared" si="2"/>
        <v>24640250</v>
      </c>
      <c r="M16" s="125"/>
    </row>
    <row r="17" spans="1:13" ht="12.75" customHeight="1">
      <c r="A17" s="122"/>
      <c r="B17" s="119" t="s">
        <v>130</v>
      </c>
      <c r="C17" s="107">
        <v>9744379</v>
      </c>
      <c r="D17" s="108"/>
      <c r="E17" s="120">
        <v>4715420</v>
      </c>
      <c r="F17" s="108"/>
      <c r="G17" s="108"/>
      <c r="H17" s="108"/>
      <c r="I17" s="120">
        <f t="shared" si="0"/>
        <v>14459799</v>
      </c>
      <c r="J17" s="120">
        <f t="shared" si="1"/>
        <v>14459799</v>
      </c>
      <c r="K17" s="120"/>
      <c r="L17" s="107">
        <f t="shared" si="2"/>
        <v>14459799</v>
      </c>
      <c r="M17" s="125"/>
    </row>
    <row r="18" spans="1:13" ht="12.75" customHeight="1">
      <c r="A18" s="122"/>
      <c r="B18" s="119" t="s">
        <v>376</v>
      </c>
      <c r="C18" s="107">
        <v>84275769</v>
      </c>
      <c r="D18" s="108"/>
      <c r="E18" s="120"/>
      <c r="F18" s="108"/>
      <c r="G18" s="108">
        <v>80000</v>
      </c>
      <c r="H18" s="108"/>
      <c r="I18" s="120">
        <f t="shared" si="0"/>
        <v>84355769</v>
      </c>
      <c r="J18" s="120">
        <f t="shared" si="1"/>
        <v>84355769</v>
      </c>
      <c r="K18" s="120">
        <v>334448</v>
      </c>
      <c r="L18" s="107">
        <f t="shared" si="2"/>
        <v>84690217</v>
      </c>
      <c r="M18" s="125"/>
    </row>
    <row r="19" spans="1:13" ht="12.75" customHeight="1">
      <c r="A19" s="122"/>
      <c r="B19" s="119" t="s">
        <v>199</v>
      </c>
      <c r="C19" s="107">
        <v>228951</v>
      </c>
      <c r="D19" s="108"/>
      <c r="E19" s="120"/>
      <c r="F19" s="108"/>
      <c r="G19" s="108"/>
      <c r="H19" s="108"/>
      <c r="I19" s="120">
        <f t="shared" si="0"/>
        <v>228951</v>
      </c>
      <c r="J19" s="120">
        <f t="shared" si="1"/>
        <v>228951</v>
      </c>
      <c r="K19" s="120"/>
      <c r="L19" s="107">
        <f t="shared" si="2"/>
        <v>228951</v>
      </c>
      <c r="M19" s="125"/>
    </row>
    <row r="20" spans="1:13" ht="12.75" customHeight="1">
      <c r="A20" s="122"/>
      <c r="B20" s="119" t="s">
        <v>377</v>
      </c>
      <c r="C20" s="107">
        <v>1900502</v>
      </c>
      <c r="D20" s="108"/>
      <c r="E20" s="120"/>
      <c r="F20" s="108"/>
      <c r="G20" s="108"/>
      <c r="H20" s="108"/>
      <c r="I20" s="120">
        <f t="shared" si="0"/>
        <v>1900502</v>
      </c>
      <c r="J20" s="120">
        <f t="shared" si="1"/>
        <v>1900502</v>
      </c>
      <c r="K20" s="120">
        <v>1024</v>
      </c>
      <c r="L20" s="107">
        <f t="shared" si="2"/>
        <v>1901526</v>
      </c>
      <c r="M20" s="125"/>
    </row>
    <row r="21" spans="1:13" ht="12.75" customHeight="1">
      <c r="A21" s="122"/>
      <c r="B21" s="119" t="s">
        <v>135</v>
      </c>
      <c r="C21" s="107">
        <v>987878</v>
      </c>
      <c r="D21" s="108"/>
      <c r="E21" s="120"/>
      <c r="F21" s="108"/>
      <c r="G21" s="108"/>
      <c r="H21" s="108"/>
      <c r="I21" s="120">
        <f t="shared" si="0"/>
        <v>987878</v>
      </c>
      <c r="J21" s="120">
        <f t="shared" si="1"/>
        <v>987878</v>
      </c>
      <c r="K21" s="120">
        <v>1024</v>
      </c>
      <c r="L21" s="107">
        <f t="shared" si="2"/>
        <v>988902</v>
      </c>
      <c r="M21" s="125"/>
    </row>
    <row r="22" spans="1:13" ht="12.75" customHeight="1">
      <c r="A22" s="122"/>
      <c r="B22" s="119" t="s">
        <v>136</v>
      </c>
      <c r="C22" s="107">
        <v>912624</v>
      </c>
      <c r="D22" s="108"/>
      <c r="E22" s="120"/>
      <c r="F22" s="108"/>
      <c r="G22" s="108"/>
      <c r="H22" s="108"/>
      <c r="I22" s="120">
        <f t="shared" si="0"/>
        <v>912624</v>
      </c>
      <c r="J22" s="120">
        <f t="shared" si="1"/>
        <v>912624</v>
      </c>
      <c r="K22" s="120"/>
      <c r="L22" s="107">
        <f t="shared" si="2"/>
        <v>912624</v>
      </c>
      <c r="M22" s="125"/>
    </row>
    <row r="23" spans="1:13" ht="12.75" customHeight="1">
      <c r="A23" s="122"/>
      <c r="B23" s="68" t="s">
        <v>203</v>
      </c>
      <c r="C23" s="107">
        <v>1011728</v>
      </c>
      <c r="D23" s="108"/>
      <c r="E23" s="120">
        <v>5720891</v>
      </c>
      <c r="F23" s="108">
        <v>19431</v>
      </c>
      <c r="G23" s="108"/>
      <c r="H23" s="108"/>
      <c r="I23" s="120">
        <f t="shared" si="0"/>
        <v>6752050</v>
      </c>
      <c r="J23" s="120">
        <f t="shared" si="1"/>
        <v>6752050</v>
      </c>
      <c r="K23" s="120"/>
      <c r="L23" s="107">
        <f t="shared" si="2"/>
        <v>6752050</v>
      </c>
      <c r="M23" s="125"/>
    </row>
    <row r="24" spans="1:13" ht="12.75" customHeight="1">
      <c r="A24" s="122"/>
      <c r="B24" s="119" t="s">
        <v>378</v>
      </c>
      <c r="C24" s="107">
        <v>1768564</v>
      </c>
      <c r="D24" s="108">
        <v>194370</v>
      </c>
      <c r="E24" s="120"/>
      <c r="F24" s="108"/>
      <c r="G24" s="108"/>
      <c r="H24" s="108"/>
      <c r="I24" s="120">
        <f t="shared" si="0"/>
        <v>1962934</v>
      </c>
      <c r="J24" s="120">
        <f t="shared" si="1"/>
        <v>1962934</v>
      </c>
      <c r="K24" s="120">
        <v>25906</v>
      </c>
      <c r="L24" s="107">
        <f t="shared" si="2"/>
        <v>1988840</v>
      </c>
      <c r="M24" s="125"/>
    </row>
    <row r="25" spans="1:13" ht="12.75" customHeight="1">
      <c r="A25" s="122"/>
      <c r="B25" s="119" t="s">
        <v>138</v>
      </c>
      <c r="C25" s="107">
        <v>0</v>
      </c>
      <c r="D25" s="108">
        <v>153450</v>
      </c>
      <c r="E25" s="120"/>
      <c r="F25" s="108"/>
      <c r="G25" s="108"/>
      <c r="H25" s="108"/>
      <c r="I25" s="120">
        <f t="shared" si="0"/>
        <v>153450</v>
      </c>
      <c r="J25" s="120">
        <f t="shared" si="1"/>
        <v>153450</v>
      </c>
      <c r="K25" s="120"/>
      <c r="L25" s="107">
        <f t="shared" si="2"/>
        <v>153450</v>
      </c>
      <c r="M25" s="125"/>
    </row>
    <row r="26" spans="1:13" ht="12.75" customHeight="1">
      <c r="A26" s="122"/>
      <c r="B26" s="119" t="s">
        <v>294</v>
      </c>
      <c r="C26" s="107">
        <v>40500</v>
      </c>
      <c r="D26" s="108">
        <v>3989</v>
      </c>
      <c r="E26" s="120"/>
      <c r="F26" s="108"/>
      <c r="G26" s="108"/>
      <c r="H26" s="108"/>
      <c r="I26" s="120">
        <f t="shared" si="0"/>
        <v>44489</v>
      </c>
      <c r="J26" s="120">
        <f t="shared" si="1"/>
        <v>44489</v>
      </c>
      <c r="K26" s="120"/>
      <c r="L26" s="107">
        <f t="shared" si="2"/>
        <v>44489</v>
      </c>
      <c r="M26" s="125"/>
    </row>
    <row r="27" spans="1:13" ht="12.75" customHeight="1">
      <c r="A27" s="122"/>
      <c r="B27" s="119" t="s">
        <v>142</v>
      </c>
      <c r="C27" s="107">
        <v>19000</v>
      </c>
      <c r="D27" s="108"/>
      <c r="E27" s="120"/>
      <c r="F27" s="108"/>
      <c r="G27" s="108"/>
      <c r="H27" s="108"/>
      <c r="I27" s="120">
        <f t="shared" si="0"/>
        <v>19000</v>
      </c>
      <c r="J27" s="120">
        <f t="shared" si="1"/>
        <v>19000</v>
      </c>
      <c r="K27" s="120"/>
      <c r="L27" s="107">
        <f t="shared" si="2"/>
        <v>19000</v>
      </c>
      <c r="M27" s="125"/>
    </row>
    <row r="28" spans="1:13" ht="12.75" customHeight="1">
      <c r="A28" s="122"/>
      <c r="B28" s="119" t="s">
        <v>143</v>
      </c>
      <c r="C28" s="107">
        <v>1709064</v>
      </c>
      <c r="D28" s="108">
        <v>36931</v>
      </c>
      <c r="E28" s="120"/>
      <c r="F28" s="108"/>
      <c r="G28" s="108"/>
      <c r="H28" s="108"/>
      <c r="I28" s="120">
        <f t="shared" si="0"/>
        <v>1745995</v>
      </c>
      <c r="J28" s="120">
        <f t="shared" si="1"/>
        <v>1745995</v>
      </c>
      <c r="K28" s="120">
        <v>25906</v>
      </c>
      <c r="L28" s="107">
        <f t="shared" si="2"/>
        <v>1771901</v>
      </c>
      <c r="M28" s="125"/>
    </row>
    <row r="29" spans="1:12" ht="15.75" customHeight="1">
      <c r="A29" s="126" t="s">
        <v>209</v>
      </c>
      <c r="B29" s="127"/>
      <c r="C29" s="112"/>
      <c r="D29" s="113"/>
      <c r="E29" s="114"/>
      <c r="F29" s="113"/>
      <c r="G29" s="115"/>
      <c r="H29" s="113"/>
      <c r="I29" s="113"/>
      <c r="J29" s="113"/>
      <c r="K29" s="113"/>
      <c r="L29" s="116"/>
    </row>
    <row r="30" spans="1:12" ht="12.75" customHeight="1">
      <c r="A30" s="122"/>
      <c r="B30" s="124" t="s">
        <v>250</v>
      </c>
      <c r="C30" s="107">
        <f>409378+33486</f>
        <v>442864</v>
      </c>
      <c r="D30" s="108">
        <v>11388</v>
      </c>
      <c r="E30" s="120">
        <v>79978</v>
      </c>
      <c r="F30" s="108"/>
      <c r="G30" s="108"/>
      <c r="H30" s="108"/>
      <c r="I30" s="120">
        <f t="shared" si="0"/>
        <v>534230</v>
      </c>
      <c r="J30" s="120">
        <f t="shared" si="1"/>
        <v>534230</v>
      </c>
      <c r="K30" s="120">
        <f>545848-534230</f>
        <v>11618</v>
      </c>
      <c r="L30" s="107">
        <f t="shared" si="2"/>
        <v>545848</v>
      </c>
    </row>
    <row r="31" spans="1:12" ht="12.75" customHeight="1">
      <c r="A31" s="122"/>
      <c r="B31" s="124" t="s">
        <v>251</v>
      </c>
      <c r="C31" s="107">
        <v>144786</v>
      </c>
      <c r="D31" s="108">
        <v>3934</v>
      </c>
      <c r="E31" s="120">
        <v>27926</v>
      </c>
      <c r="F31" s="108"/>
      <c r="G31" s="108"/>
      <c r="H31" s="108"/>
      <c r="I31" s="120">
        <f t="shared" si="0"/>
        <v>176646</v>
      </c>
      <c r="J31" s="120">
        <f t="shared" si="1"/>
        <v>176646</v>
      </c>
      <c r="K31" s="120">
        <v>3951</v>
      </c>
      <c r="L31" s="107">
        <f t="shared" si="2"/>
        <v>180597</v>
      </c>
    </row>
    <row r="32" spans="1:12" ht="12.75" customHeight="1">
      <c r="A32" s="122"/>
      <c r="B32" s="124" t="s">
        <v>252</v>
      </c>
      <c r="C32" s="107">
        <v>8131</v>
      </c>
      <c r="D32" s="108">
        <v>220</v>
      </c>
      <c r="E32" s="120">
        <v>1276</v>
      </c>
      <c r="F32" s="108"/>
      <c r="G32" s="108"/>
      <c r="H32" s="108"/>
      <c r="I32" s="120">
        <f t="shared" si="0"/>
        <v>9627</v>
      </c>
      <c r="J32" s="120">
        <f t="shared" si="1"/>
        <v>9627</v>
      </c>
      <c r="K32" s="120">
        <v>233</v>
      </c>
      <c r="L32" s="107">
        <f t="shared" si="2"/>
        <v>9860</v>
      </c>
    </row>
    <row r="33" spans="1:12" ht="12.75" customHeight="1">
      <c r="A33" s="122"/>
      <c r="B33" s="124" t="s">
        <v>253</v>
      </c>
      <c r="C33" s="107">
        <v>409378</v>
      </c>
      <c r="D33" s="108">
        <v>10911</v>
      </c>
      <c r="E33" s="120">
        <v>63908</v>
      </c>
      <c r="F33" s="108"/>
      <c r="G33" s="108"/>
      <c r="H33" s="108"/>
      <c r="I33" s="120">
        <f t="shared" si="0"/>
        <v>484197</v>
      </c>
      <c r="J33" s="120">
        <f t="shared" si="1"/>
        <v>484197</v>
      </c>
      <c r="K33" s="120">
        <f>495815-484197</f>
        <v>11618</v>
      </c>
      <c r="L33" s="107">
        <f t="shared" si="2"/>
        <v>495815</v>
      </c>
    </row>
    <row r="34" spans="1:12" ht="12.75" customHeight="1">
      <c r="A34" s="128"/>
      <c r="B34" s="124" t="s">
        <v>149</v>
      </c>
      <c r="C34" s="107">
        <v>9744379</v>
      </c>
      <c r="D34" s="108"/>
      <c r="E34" s="120">
        <v>4715420</v>
      </c>
      <c r="F34" s="108"/>
      <c r="G34" s="108"/>
      <c r="H34" s="108"/>
      <c r="I34" s="120">
        <f t="shared" si="0"/>
        <v>14459799</v>
      </c>
      <c r="J34" s="120">
        <f t="shared" si="1"/>
        <v>14459799</v>
      </c>
      <c r="K34" s="120"/>
      <c r="L34" s="107">
        <f t="shared" si="2"/>
        <v>14459799</v>
      </c>
    </row>
    <row r="35" spans="1:12" ht="12.75" customHeight="1">
      <c r="A35" s="128"/>
      <c r="B35" s="124" t="s">
        <v>150</v>
      </c>
      <c r="C35" s="107">
        <v>9744379</v>
      </c>
      <c r="D35" s="108"/>
      <c r="E35" s="120"/>
      <c r="F35" s="108"/>
      <c r="G35" s="108"/>
      <c r="H35" s="108"/>
      <c r="I35" s="120">
        <f t="shared" si="0"/>
        <v>9744379</v>
      </c>
      <c r="J35" s="120">
        <f t="shared" si="1"/>
        <v>9744379</v>
      </c>
      <c r="K35" s="120"/>
      <c r="L35" s="107">
        <f t="shared" si="2"/>
        <v>9744379</v>
      </c>
    </row>
    <row r="36" spans="1:12" ht="12.75" customHeight="1">
      <c r="A36" s="128"/>
      <c r="B36" s="124" t="s">
        <v>151</v>
      </c>
      <c r="C36" s="107">
        <v>6978160</v>
      </c>
      <c r="D36" s="108"/>
      <c r="E36" s="120"/>
      <c r="F36" s="108"/>
      <c r="G36" s="108"/>
      <c r="H36" s="108"/>
      <c r="I36" s="120">
        <f t="shared" si="0"/>
        <v>6978160</v>
      </c>
      <c r="J36" s="120">
        <f t="shared" si="1"/>
        <v>6978160</v>
      </c>
      <c r="K36" s="120"/>
      <c r="L36" s="107">
        <f t="shared" si="2"/>
        <v>6978160</v>
      </c>
    </row>
    <row r="37" spans="1:12" ht="12.75" customHeight="1">
      <c r="A37" s="128"/>
      <c r="B37" s="124" t="s">
        <v>152</v>
      </c>
      <c r="C37" s="107">
        <v>2766219</v>
      </c>
      <c r="D37" s="108"/>
      <c r="E37" s="120"/>
      <c r="F37" s="108"/>
      <c r="G37" s="108"/>
      <c r="H37" s="108"/>
      <c r="I37" s="120">
        <f t="shared" si="0"/>
        <v>2766219</v>
      </c>
      <c r="J37" s="120">
        <f t="shared" si="1"/>
        <v>2766219</v>
      </c>
      <c r="K37" s="120"/>
      <c r="L37" s="107">
        <f t="shared" si="2"/>
        <v>2766219</v>
      </c>
    </row>
    <row r="38" spans="1:12" ht="12.75" customHeight="1">
      <c r="A38" s="128"/>
      <c r="B38" s="124" t="s">
        <v>254</v>
      </c>
      <c r="C38" s="107">
        <v>0</v>
      </c>
      <c r="D38" s="108"/>
      <c r="E38" s="120">
        <v>4715420</v>
      </c>
      <c r="F38" s="108"/>
      <c r="G38" s="108"/>
      <c r="H38" s="108"/>
      <c r="I38" s="120">
        <f t="shared" si="0"/>
        <v>4715420</v>
      </c>
      <c r="J38" s="120">
        <f t="shared" si="1"/>
        <v>4715420</v>
      </c>
      <c r="K38" s="120"/>
      <c r="L38" s="107">
        <f t="shared" si="2"/>
        <v>4715420</v>
      </c>
    </row>
    <row r="39" spans="1:12" ht="12.75" customHeight="1">
      <c r="A39" s="128"/>
      <c r="B39" s="124" t="s">
        <v>154</v>
      </c>
      <c r="C39" s="107">
        <v>1470524</v>
      </c>
      <c r="D39" s="108"/>
      <c r="E39" s="120"/>
      <c r="F39" s="108"/>
      <c r="G39" s="108"/>
      <c r="H39" s="108"/>
      <c r="I39" s="120">
        <f t="shared" si="0"/>
        <v>1470524</v>
      </c>
      <c r="J39" s="120">
        <f t="shared" si="1"/>
        <v>1470524</v>
      </c>
      <c r="K39" s="120"/>
      <c r="L39" s="107">
        <f t="shared" si="2"/>
        <v>1470524</v>
      </c>
    </row>
    <row r="40" spans="1:12" ht="12.75" customHeight="1">
      <c r="A40" s="128"/>
      <c r="B40" s="124" t="s">
        <v>155</v>
      </c>
      <c r="C40" s="107">
        <v>1285695</v>
      </c>
      <c r="D40" s="108"/>
      <c r="E40" s="120"/>
      <c r="F40" s="108"/>
      <c r="G40" s="108"/>
      <c r="H40" s="108"/>
      <c r="I40" s="120">
        <f t="shared" si="0"/>
        <v>1285695</v>
      </c>
      <c r="J40" s="120">
        <f t="shared" si="1"/>
        <v>1285695</v>
      </c>
      <c r="K40" s="120"/>
      <c r="L40" s="107">
        <f t="shared" si="2"/>
        <v>1285695</v>
      </c>
    </row>
    <row r="41" spans="1:12" ht="12.75" customHeight="1">
      <c r="A41" s="128"/>
      <c r="B41" s="124" t="s">
        <v>156</v>
      </c>
      <c r="C41" s="107">
        <v>0</v>
      </c>
      <c r="D41" s="108"/>
      <c r="E41" s="120"/>
      <c r="F41" s="108"/>
      <c r="G41" s="108"/>
      <c r="H41" s="108"/>
      <c r="I41" s="120">
        <f t="shared" si="0"/>
        <v>0</v>
      </c>
      <c r="J41" s="120">
        <f t="shared" si="1"/>
        <v>0</v>
      </c>
      <c r="K41" s="120"/>
      <c r="L41" s="107">
        <f t="shared" si="2"/>
        <v>0</v>
      </c>
    </row>
    <row r="42" spans="1:12" ht="12.75" customHeight="1">
      <c r="A42" s="128"/>
      <c r="B42" s="124" t="s">
        <v>157</v>
      </c>
      <c r="C42" s="107">
        <v>1047356</v>
      </c>
      <c r="D42" s="108"/>
      <c r="E42" s="120"/>
      <c r="F42" s="108"/>
      <c r="G42" s="108"/>
      <c r="H42" s="108"/>
      <c r="I42" s="120">
        <f t="shared" si="0"/>
        <v>1047356</v>
      </c>
      <c r="J42" s="120">
        <f t="shared" si="1"/>
        <v>1047356</v>
      </c>
      <c r="K42" s="120"/>
      <c r="L42" s="107">
        <f t="shared" si="2"/>
        <v>1047356</v>
      </c>
    </row>
    <row r="43" spans="1:12" ht="12.75" customHeight="1">
      <c r="A43" s="128"/>
      <c r="B43" s="124" t="s">
        <v>158</v>
      </c>
      <c r="C43" s="107">
        <v>1901973</v>
      </c>
      <c r="D43" s="108"/>
      <c r="E43" s="120"/>
      <c r="F43" s="108"/>
      <c r="G43" s="108"/>
      <c r="H43" s="108"/>
      <c r="I43" s="120">
        <f t="shared" si="0"/>
        <v>1901973</v>
      </c>
      <c r="J43" s="120">
        <f t="shared" si="1"/>
        <v>1901973</v>
      </c>
      <c r="K43" s="120"/>
      <c r="L43" s="107">
        <f t="shared" si="2"/>
        <v>1901973</v>
      </c>
    </row>
    <row r="44" spans="1:12" ht="12.75" customHeight="1">
      <c r="A44" s="128"/>
      <c r="B44" s="119" t="s">
        <v>159</v>
      </c>
      <c r="C44" s="107"/>
      <c r="D44" s="108">
        <v>153450</v>
      </c>
      <c r="E44" s="120"/>
      <c r="F44" s="108"/>
      <c r="G44" s="108"/>
      <c r="H44" s="108"/>
      <c r="I44" s="120">
        <f t="shared" si="0"/>
        <v>153450</v>
      </c>
      <c r="J44" s="120">
        <f t="shared" si="1"/>
        <v>153450</v>
      </c>
      <c r="K44" s="120"/>
      <c r="L44" s="107">
        <f t="shared" si="2"/>
        <v>153450</v>
      </c>
    </row>
    <row r="45" spans="1:12" ht="12.75" customHeight="1">
      <c r="A45" s="128"/>
      <c r="B45" s="119" t="s">
        <v>160</v>
      </c>
      <c r="C45" s="107">
        <v>10202</v>
      </c>
      <c r="D45" s="108"/>
      <c r="E45" s="120"/>
      <c r="F45" s="108"/>
      <c r="G45" s="108"/>
      <c r="H45" s="108"/>
      <c r="I45" s="120">
        <f t="shared" si="0"/>
        <v>10202</v>
      </c>
      <c r="J45" s="120">
        <f t="shared" si="1"/>
        <v>10202</v>
      </c>
      <c r="K45" s="120"/>
      <c r="L45" s="107">
        <f t="shared" si="2"/>
        <v>10202</v>
      </c>
    </row>
    <row r="46" spans="1:12" ht="12.75" customHeight="1">
      <c r="A46" s="128"/>
      <c r="B46" s="119" t="s">
        <v>224</v>
      </c>
      <c r="C46" s="107">
        <v>12702</v>
      </c>
      <c r="D46" s="108"/>
      <c r="E46" s="120"/>
      <c r="F46" s="108"/>
      <c r="G46" s="108"/>
      <c r="H46" s="108"/>
      <c r="I46" s="120">
        <f t="shared" si="0"/>
        <v>12702</v>
      </c>
      <c r="J46" s="120">
        <f t="shared" si="1"/>
        <v>12702</v>
      </c>
      <c r="K46" s="120"/>
      <c r="L46" s="107">
        <f t="shared" si="2"/>
        <v>12702</v>
      </c>
    </row>
    <row r="47" spans="1:12" ht="12.75" customHeight="1">
      <c r="A47" s="128"/>
      <c r="B47" s="119" t="s">
        <v>162</v>
      </c>
      <c r="C47" s="107">
        <v>25000</v>
      </c>
      <c r="D47" s="108"/>
      <c r="E47" s="120"/>
      <c r="F47" s="108"/>
      <c r="G47" s="108"/>
      <c r="H47" s="108"/>
      <c r="I47" s="120">
        <f t="shared" si="0"/>
        <v>25000</v>
      </c>
      <c r="J47" s="120">
        <f t="shared" si="1"/>
        <v>25000</v>
      </c>
      <c r="K47" s="120"/>
      <c r="L47" s="107">
        <f t="shared" si="2"/>
        <v>25000</v>
      </c>
    </row>
    <row r="48" spans="1:12" ht="12.75" customHeight="1">
      <c r="A48" s="128"/>
      <c r="B48" s="119" t="s">
        <v>225</v>
      </c>
      <c r="C48" s="107">
        <v>400</v>
      </c>
      <c r="D48" s="108"/>
      <c r="E48" s="120"/>
      <c r="F48" s="108"/>
      <c r="G48" s="108"/>
      <c r="H48" s="108"/>
      <c r="I48" s="120">
        <f t="shared" si="0"/>
        <v>400</v>
      </c>
      <c r="J48" s="120">
        <f t="shared" si="1"/>
        <v>400</v>
      </c>
      <c r="K48" s="120"/>
      <c r="L48" s="107">
        <f t="shared" si="2"/>
        <v>400</v>
      </c>
    </row>
    <row r="49" spans="1:12" ht="12.75" customHeight="1">
      <c r="A49" s="128"/>
      <c r="B49" s="124" t="s">
        <v>289</v>
      </c>
      <c r="C49" s="107">
        <v>1868702</v>
      </c>
      <c r="D49" s="108"/>
      <c r="E49" s="120">
        <v>10436311</v>
      </c>
      <c r="F49" s="108"/>
      <c r="G49" s="108"/>
      <c r="H49" s="108"/>
      <c r="I49" s="120">
        <f t="shared" si="0"/>
        <v>12305013</v>
      </c>
      <c r="J49" s="120">
        <f t="shared" si="1"/>
        <v>12305013</v>
      </c>
      <c r="K49" s="120"/>
      <c r="L49" s="107">
        <f t="shared" si="2"/>
        <v>12305013</v>
      </c>
    </row>
    <row r="50" spans="1:12" ht="12.75" customHeight="1">
      <c r="A50" s="128"/>
      <c r="B50" s="119" t="s">
        <v>255</v>
      </c>
      <c r="C50" s="107">
        <f>1175369+665133+1200+27000</f>
        <v>1868702</v>
      </c>
      <c r="D50" s="108"/>
      <c r="E50" s="120"/>
      <c r="F50" s="108"/>
      <c r="G50" s="108"/>
      <c r="H50" s="108"/>
      <c r="I50" s="120">
        <f t="shared" si="0"/>
        <v>1868702</v>
      </c>
      <c r="J50" s="120">
        <f t="shared" si="1"/>
        <v>1868702</v>
      </c>
      <c r="K50" s="120"/>
      <c r="L50" s="107">
        <f t="shared" si="2"/>
        <v>1868702</v>
      </c>
    </row>
    <row r="51" spans="1:12" ht="12.75" customHeight="1">
      <c r="A51" s="128"/>
      <c r="B51" s="119" t="s">
        <v>256</v>
      </c>
      <c r="C51" s="107">
        <v>0</v>
      </c>
      <c r="D51" s="108"/>
      <c r="E51" s="120">
        <v>10436311</v>
      </c>
      <c r="F51" s="108"/>
      <c r="G51" s="108"/>
      <c r="H51" s="108"/>
      <c r="I51" s="120">
        <f t="shared" si="0"/>
        <v>10436311</v>
      </c>
      <c r="J51" s="120">
        <f t="shared" si="1"/>
        <v>10436311</v>
      </c>
      <c r="K51" s="120"/>
      <c r="L51" s="107">
        <f t="shared" si="2"/>
        <v>10436311</v>
      </c>
    </row>
    <row r="52" spans="1:12" ht="12.75" customHeight="1">
      <c r="A52" s="128"/>
      <c r="B52" s="124" t="s">
        <v>228</v>
      </c>
      <c r="C52" s="107">
        <v>2159</v>
      </c>
      <c r="D52" s="108"/>
      <c r="E52" s="120"/>
      <c r="F52" s="108">
        <v>19431</v>
      </c>
      <c r="G52" s="108"/>
      <c r="H52" s="108"/>
      <c r="I52" s="120">
        <f t="shared" si="0"/>
        <v>21590</v>
      </c>
      <c r="J52" s="120">
        <f t="shared" si="1"/>
        <v>21590</v>
      </c>
      <c r="K52" s="120"/>
      <c r="L52" s="107">
        <f t="shared" si="2"/>
        <v>21590</v>
      </c>
    </row>
    <row r="53" spans="1:12" ht="12.75" customHeight="1">
      <c r="A53" s="128"/>
      <c r="B53" s="119" t="s">
        <v>255</v>
      </c>
      <c r="C53" s="107">
        <v>2159</v>
      </c>
      <c r="D53" s="108"/>
      <c r="E53" s="120"/>
      <c r="F53" s="108"/>
      <c r="G53" s="108"/>
      <c r="H53" s="108"/>
      <c r="I53" s="120">
        <f t="shared" si="0"/>
        <v>2159</v>
      </c>
      <c r="J53" s="120">
        <f t="shared" si="1"/>
        <v>2159</v>
      </c>
      <c r="K53" s="120"/>
      <c r="L53" s="107">
        <f t="shared" si="2"/>
        <v>2159</v>
      </c>
    </row>
    <row r="54" spans="1:12" ht="12.75" customHeight="1">
      <c r="A54" s="128"/>
      <c r="B54" s="119" t="s">
        <v>291</v>
      </c>
      <c r="C54" s="107">
        <v>0</v>
      </c>
      <c r="D54" s="108"/>
      <c r="E54" s="120"/>
      <c r="F54" s="108">
        <v>19431</v>
      </c>
      <c r="G54" s="108"/>
      <c r="H54" s="108"/>
      <c r="I54" s="120">
        <f t="shared" si="0"/>
        <v>19431</v>
      </c>
      <c r="J54" s="120">
        <f t="shared" si="1"/>
        <v>19431</v>
      </c>
      <c r="K54" s="120"/>
      <c r="L54" s="107">
        <f t="shared" si="2"/>
        <v>19431</v>
      </c>
    </row>
    <row r="55" spans="1:12" ht="12.75" customHeight="1">
      <c r="A55" s="129"/>
      <c r="B55" s="119" t="s">
        <v>175</v>
      </c>
      <c r="C55" s="107">
        <v>3996117</v>
      </c>
      <c r="D55" s="108"/>
      <c r="E55" s="120"/>
      <c r="F55" s="108"/>
      <c r="G55" s="108"/>
      <c r="H55" s="108"/>
      <c r="I55" s="120">
        <f t="shared" si="0"/>
        <v>3996117</v>
      </c>
      <c r="J55" s="120">
        <f t="shared" si="1"/>
        <v>3996117</v>
      </c>
      <c r="K55" s="120"/>
      <c r="L55" s="107">
        <f t="shared" si="2"/>
        <v>3996117</v>
      </c>
    </row>
    <row r="56" ht="12.75" customHeight="1">
      <c r="B56" s="100" t="s">
        <v>287</v>
      </c>
    </row>
  </sheetData>
  <sheetProtection/>
  <mergeCells count="1">
    <mergeCell ref="A1:L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0" r:id="rId1"/>
  <headerFooter alignWithMargins="0">
    <oddHeader>&amp;R&amp;"Arial,Kurzíva"Kapitola A.
&amp;"Arial,Tučné"Tabulka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9.140625" defaultRowHeight="12.75"/>
  <cols>
    <col min="1" max="1" width="84.00390625" style="17" bestFit="1" customWidth="1"/>
    <col min="2" max="2" width="14.7109375" style="17" bestFit="1" customWidth="1"/>
    <col min="3" max="3" width="21.421875" style="17" customWidth="1"/>
    <col min="4" max="4" width="14.421875" style="135" customWidth="1"/>
    <col min="5" max="5" width="7.28125" style="135" bestFit="1" customWidth="1"/>
    <col min="6" max="6" width="14.8515625" style="17" customWidth="1"/>
    <col min="7" max="7" width="17.57421875" style="17" customWidth="1"/>
    <col min="8" max="16384" width="9.140625" style="17" customWidth="1"/>
  </cols>
  <sheetData>
    <row r="1" spans="1:7" ht="18">
      <c r="A1" s="435" t="s">
        <v>176</v>
      </c>
      <c r="B1" s="435"/>
      <c r="C1" s="435"/>
      <c r="D1" s="435"/>
      <c r="E1" s="435"/>
      <c r="F1" s="435"/>
      <c r="G1" s="435"/>
    </row>
    <row r="2" spans="1:5" ht="18" customHeight="1">
      <c r="A2" s="164" t="s">
        <v>257</v>
      </c>
      <c r="B2" s="132"/>
      <c r="C2" s="132"/>
      <c r="D2" s="131"/>
      <c r="E2" s="131"/>
    </row>
    <row r="3" spans="2:5" ht="18" customHeight="1">
      <c r="B3" s="133"/>
      <c r="C3" s="132"/>
      <c r="D3" s="134"/>
      <c r="E3" s="134"/>
    </row>
    <row r="4" ht="12.75">
      <c r="G4" s="136" t="s">
        <v>24</v>
      </c>
    </row>
    <row r="5" spans="1:7" s="141" customFormat="1" ht="89.25">
      <c r="A5" s="137" t="s">
        <v>259</v>
      </c>
      <c r="B5" s="138" t="s">
        <v>260</v>
      </c>
      <c r="C5" s="138" t="s">
        <v>261</v>
      </c>
      <c r="D5" s="139" t="s">
        <v>296</v>
      </c>
      <c r="E5" s="140" t="s">
        <v>262</v>
      </c>
      <c r="F5" s="138" t="s">
        <v>282</v>
      </c>
      <c r="G5" s="138" t="s">
        <v>283</v>
      </c>
    </row>
    <row r="6" spans="1:7" s="145" customFormat="1" ht="12.75">
      <c r="A6" s="142" t="s">
        <v>117</v>
      </c>
      <c r="B6" s="142"/>
      <c r="C6" s="142"/>
      <c r="D6" s="143"/>
      <c r="E6" s="144"/>
      <c r="F6" s="160"/>
      <c r="G6" s="160"/>
    </row>
    <row r="7" spans="1:7" s="149" customFormat="1" ht="15">
      <c r="A7" s="146" t="s">
        <v>118</v>
      </c>
      <c r="B7" s="146">
        <v>11237</v>
      </c>
      <c r="C7" s="146">
        <v>10453642</v>
      </c>
      <c r="D7" s="147">
        <v>-2100</v>
      </c>
      <c r="E7" s="148">
        <v>-18.69</v>
      </c>
      <c r="F7" s="161">
        <v>9137</v>
      </c>
      <c r="G7" s="161">
        <v>10464879</v>
      </c>
    </row>
    <row r="8" spans="1:7" s="149" customFormat="1" ht="15">
      <c r="A8" s="146" t="s">
        <v>119</v>
      </c>
      <c r="B8" s="146">
        <v>118618171</v>
      </c>
      <c r="C8" s="146">
        <v>15853081</v>
      </c>
      <c r="D8" s="147">
        <v>5397339</v>
      </c>
      <c r="E8" s="148">
        <v>4.55</v>
      </c>
      <c r="F8" s="161">
        <v>124205881</v>
      </c>
      <c r="G8" s="161">
        <v>134661633</v>
      </c>
    </row>
    <row r="9" spans="1:7" s="145" customFormat="1" ht="12.75">
      <c r="A9" s="142" t="s">
        <v>120</v>
      </c>
      <c r="B9" s="142"/>
      <c r="C9" s="142"/>
      <c r="D9" s="150"/>
      <c r="E9" s="151"/>
      <c r="F9" s="160"/>
      <c r="G9" s="160"/>
    </row>
    <row r="10" spans="1:7" s="145" customFormat="1" ht="12.75">
      <c r="A10" s="142" t="s">
        <v>121</v>
      </c>
      <c r="B10" s="142">
        <v>0</v>
      </c>
      <c r="C10" s="142">
        <v>400</v>
      </c>
      <c r="D10" s="152">
        <v>400</v>
      </c>
      <c r="E10" s="153" t="s">
        <v>263</v>
      </c>
      <c r="F10" s="160">
        <v>400</v>
      </c>
      <c r="G10" s="160">
        <v>400</v>
      </c>
    </row>
    <row r="11" spans="1:7" s="145" customFormat="1" ht="12.75">
      <c r="A11" s="142" t="s">
        <v>122</v>
      </c>
      <c r="B11" s="142">
        <v>11237</v>
      </c>
      <c r="C11" s="142">
        <v>10453242</v>
      </c>
      <c r="D11" s="150">
        <v>-2500</v>
      </c>
      <c r="E11" s="151">
        <v>-22.25</v>
      </c>
      <c r="F11" s="160">
        <v>8737</v>
      </c>
      <c r="G11" s="160">
        <v>10464479</v>
      </c>
    </row>
    <row r="12" spans="1:7" s="145" customFormat="1" ht="12.75">
      <c r="A12" s="142" t="s">
        <v>124</v>
      </c>
      <c r="B12" s="142">
        <v>0</v>
      </c>
      <c r="C12" s="142">
        <v>10436311</v>
      </c>
      <c r="D12" s="152">
        <v>0</v>
      </c>
      <c r="E12" s="153" t="s">
        <v>263</v>
      </c>
      <c r="F12" s="160">
        <v>0</v>
      </c>
      <c r="G12" s="160">
        <v>10436311</v>
      </c>
    </row>
    <row r="13" spans="1:7" s="145" customFormat="1" ht="12.75">
      <c r="A13" s="142" t="s">
        <v>125</v>
      </c>
      <c r="B13" s="142">
        <v>0</v>
      </c>
      <c r="C13" s="142">
        <v>19431</v>
      </c>
      <c r="D13" s="152">
        <v>0</v>
      </c>
      <c r="E13" s="153" t="s">
        <v>263</v>
      </c>
      <c r="F13" s="160">
        <v>0</v>
      </c>
      <c r="G13" s="160">
        <v>19431</v>
      </c>
    </row>
    <row r="14" spans="1:7" s="145" customFormat="1" ht="12.75">
      <c r="A14" s="142" t="s">
        <v>264</v>
      </c>
      <c r="B14" s="142">
        <v>11237</v>
      </c>
      <c r="C14" s="142">
        <v>-2500</v>
      </c>
      <c r="D14" s="150">
        <v>-2500</v>
      </c>
      <c r="E14" s="151">
        <v>-22.25</v>
      </c>
      <c r="F14" s="160">
        <v>8737</v>
      </c>
      <c r="G14" s="160">
        <v>8737</v>
      </c>
    </row>
    <row r="15" spans="1:7" s="145" customFormat="1" ht="12.75">
      <c r="A15" s="142" t="s">
        <v>127</v>
      </c>
      <c r="B15" s="142"/>
      <c r="C15" s="142"/>
      <c r="D15" s="150"/>
      <c r="E15" s="151"/>
      <c r="F15" s="160"/>
      <c r="G15" s="160"/>
    </row>
    <row r="16" spans="1:7" s="145" customFormat="1" ht="12.75">
      <c r="A16" s="142" t="s">
        <v>128</v>
      </c>
      <c r="B16" s="142">
        <v>33708763</v>
      </c>
      <c r="C16" s="142">
        <v>5391286</v>
      </c>
      <c r="D16" s="150">
        <v>675866</v>
      </c>
      <c r="E16" s="151">
        <v>2.01</v>
      </c>
      <c r="F16" s="160">
        <v>34384629</v>
      </c>
      <c r="G16" s="160">
        <v>39100049</v>
      </c>
    </row>
    <row r="17" spans="1:7" s="145" customFormat="1" ht="12.75">
      <c r="A17" s="142" t="s">
        <v>129</v>
      </c>
      <c r="B17" s="142">
        <v>24100991</v>
      </c>
      <c r="C17" s="142">
        <v>539259</v>
      </c>
      <c r="D17" s="150">
        <v>539259</v>
      </c>
      <c r="E17" s="151">
        <v>2.24</v>
      </c>
      <c r="F17" s="160">
        <v>24640250</v>
      </c>
      <c r="G17" s="160">
        <v>24640250</v>
      </c>
    </row>
    <row r="18" spans="1:7" s="145" customFormat="1" ht="12.75">
      <c r="A18" s="142" t="s">
        <v>130</v>
      </c>
      <c r="B18" s="142">
        <v>9607772</v>
      </c>
      <c r="C18" s="142">
        <v>4852027</v>
      </c>
      <c r="D18" s="150">
        <v>136607</v>
      </c>
      <c r="E18" s="151">
        <v>1.42</v>
      </c>
      <c r="F18" s="160">
        <v>9744379</v>
      </c>
      <c r="G18" s="160">
        <v>14459799</v>
      </c>
    </row>
    <row r="19" spans="1:7" s="145" customFormat="1" ht="12.75">
      <c r="A19" s="142" t="s">
        <v>265</v>
      </c>
      <c r="B19" s="142">
        <v>79763479</v>
      </c>
      <c r="C19" s="142">
        <v>4926738</v>
      </c>
      <c r="D19" s="150">
        <v>4926738</v>
      </c>
      <c r="E19" s="151">
        <v>6.18</v>
      </c>
      <c r="F19" s="160">
        <v>84690217</v>
      </c>
      <c r="G19" s="160">
        <v>84690217</v>
      </c>
    </row>
    <row r="20" spans="1:7" s="145" customFormat="1" ht="12.75">
      <c r="A20" s="142" t="s">
        <v>133</v>
      </c>
      <c r="B20" s="142">
        <v>231883</v>
      </c>
      <c r="C20" s="142">
        <v>-2932</v>
      </c>
      <c r="D20" s="150">
        <v>-2932</v>
      </c>
      <c r="E20" s="151">
        <v>-1.26</v>
      </c>
      <c r="F20" s="160">
        <v>228951</v>
      </c>
      <c r="G20" s="160">
        <v>228951</v>
      </c>
    </row>
    <row r="21" spans="1:7" s="145" customFormat="1" ht="12.75">
      <c r="A21" s="142" t="s">
        <v>134</v>
      </c>
      <c r="B21" s="142">
        <v>2234756</v>
      </c>
      <c r="C21" s="142">
        <v>-333230</v>
      </c>
      <c r="D21" s="150">
        <v>-333230</v>
      </c>
      <c r="E21" s="151">
        <v>-14.91</v>
      </c>
      <c r="F21" s="160">
        <v>1901526</v>
      </c>
      <c r="G21" s="160">
        <v>1901526</v>
      </c>
    </row>
    <row r="22" spans="1:7" s="145" customFormat="1" ht="12.75">
      <c r="A22" s="142" t="s">
        <v>135</v>
      </c>
      <c r="B22" s="142">
        <v>987562</v>
      </c>
      <c r="C22" s="142">
        <v>1340</v>
      </c>
      <c r="D22" s="150">
        <v>1340</v>
      </c>
      <c r="E22" s="151">
        <v>0.14</v>
      </c>
      <c r="F22" s="160">
        <v>988902</v>
      </c>
      <c r="G22" s="160">
        <v>988902</v>
      </c>
    </row>
    <row r="23" spans="1:7" s="145" customFormat="1" ht="12.75">
      <c r="A23" s="142" t="s">
        <v>136</v>
      </c>
      <c r="B23" s="142">
        <v>1247194</v>
      </c>
      <c r="C23" s="142">
        <v>-334570</v>
      </c>
      <c r="D23" s="150">
        <v>-334570</v>
      </c>
      <c r="E23" s="151">
        <v>-26.83</v>
      </c>
      <c r="F23" s="160">
        <v>912624</v>
      </c>
      <c r="G23" s="160">
        <v>912624</v>
      </c>
    </row>
    <row r="24" spans="1:7" s="145" customFormat="1" ht="12.75">
      <c r="A24" s="68" t="s">
        <v>293</v>
      </c>
      <c r="B24" s="142">
        <v>890244</v>
      </c>
      <c r="C24" s="142">
        <v>5861806</v>
      </c>
      <c r="D24" s="150">
        <v>121484</v>
      </c>
      <c r="E24" s="151">
        <v>13.65</v>
      </c>
      <c r="F24" s="160">
        <v>1011728</v>
      </c>
      <c r="G24" s="160">
        <v>6752050</v>
      </c>
    </row>
    <row r="25" spans="1:7" s="145" customFormat="1" ht="12.75">
      <c r="A25" s="215" t="s">
        <v>295</v>
      </c>
      <c r="B25" s="142">
        <v>1789046</v>
      </c>
      <c r="C25" s="142">
        <v>9413</v>
      </c>
      <c r="D25" s="150">
        <v>9413</v>
      </c>
      <c r="E25" s="151">
        <v>0.53</v>
      </c>
      <c r="F25" s="160">
        <v>1988840</v>
      </c>
      <c r="G25" s="160">
        <v>1988840</v>
      </c>
    </row>
    <row r="26" spans="1:7" s="145" customFormat="1" ht="12.75">
      <c r="A26" s="142" t="s">
        <v>138</v>
      </c>
      <c r="B26" s="142">
        <v>0</v>
      </c>
      <c r="C26" s="142">
        <v>0</v>
      </c>
      <c r="D26" s="152">
        <v>0</v>
      </c>
      <c r="E26" s="153" t="s">
        <v>263</v>
      </c>
      <c r="F26" s="160">
        <v>153450</v>
      </c>
      <c r="G26" s="160">
        <v>153450</v>
      </c>
    </row>
    <row r="27" spans="1:7" s="145" customFormat="1" ht="12.75">
      <c r="A27" s="215" t="s">
        <v>294</v>
      </c>
      <c r="B27" s="142">
        <v>14238</v>
      </c>
      <c r="C27" s="142">
        <v>30251</v>
      </c>
      <c r="D27" s="150">
        <v>30251</v>
      </c>
      <c r="E27" s="151">
        <v>212.47</v>
      </c>
      <c r="F27" s="160">
        <v>44489</v>
      </c>
      <c r="G27" s="160">
        <v>44489</v>
      </c>
    </row>
    <row r="28" spans="1:7" s="145" customFormat="1" ht="12.75">
      <c r="A28" s="142" t="s">
        <v>142</v>
      </c>
      <c r="B28" s="142">
        <v>19000</v>
      </c>
      <c r="C28" s="142">
        <v>0</v>
      </c>
      <c r="D28" s="150">
        <v>0</v>
      </c>
      <c r="E28" s="151">
        <v>0</v>
      </c>
      <c r="F28" s="160">
        <v>19000</v>
      </c>
      <c r="G28" s="160">
        <v>19000</v>
      </c>
    </row>
    <row r="29" spans="1:7" s="145" customFormat="1" ht="12.75">
      <c r="A29" s="142" t="s">
        <v>249</v>
      </c>
      <c r="B29" s="142">
        <v>1755808</v>
      </c>
      <c r="C29" s="142">
        <v>16093</v>
      </c>
      <c r="D29" s="150">
        <v>-20838</v>
      </c>
      <c r="E29" s="151">
        <v>-1.19</v>
      </c>
      <c r="F29" s="160">
        <v>1771901</v>
      </c>
      <c r="G29" s="160">
        <v>1771901</v>
      </c>
    </row>
    <row r="30" spans="1:7" s="18" customFormat="1" ht="15">
      <c r="A30" s="154" t="s">
        <v>266</v>
      </c>
      <c r="B30" s="154">
        <v>1702434</v>
      </c>
      <c r="C30" s="154">
        <v>17223</v>
      </c>
      <c r="D30" s="155">
        <v>-19708</v>
      </c>
      <c r="E30" s="156">
        <v>-1.16</v>
      </c>
      <c r="F30" s="162">
        <v>1719657</v>
      </c>
      <c r="G30" s="162">
        <v>1719657</v>
      </c>
    </row>
    <row r="31" spans="1:7" s="18" customFormat="1" ht="15">
      <c r="A31" s="154" t="s">
        <v>267</v>
      </c>
      <c r="B31" s="154">
        <v>10202</v>
      </c>
      <c r="C31" s="154">
        <v>0</v>
      </c>
      <c r="D31" s="155">
        <v>0</v>
      </c>
      <c r="E31" s="156">
        <v>0</v>
      </c>
      <c r="F31" s="162">
        <v>10202</v>
      </c>
      <c r="G31" s="162">
        <v>10202</v>
      </c>
    </row>
    <row r="32" spans="1:7" s="18" customFormat="1" ht="15">
      <c r="A32" s="154" t="s">
        <v>268</v>
      </c>
      <c r="B32" s="154">
        <v>12702</v>
      </c>
      <c r="C32" s="154">
        <v>0</v>
      </c>
      <c r="D32" s="155">
        <v>0</v>
      </c>
      <c r="E32" s="156">
        <v>0</v>
      </c>
      <c r="F32" s="162">
        <v>12702</v>
      </c>
      <c r="G32" s="162">
        <v>12702</v>
      </c>
    </row>
    <row r="33" spans="1:7" s="18" customFormat="1" ht="15">
      <c r="A33" s="154" t="s">
        <v>269</v>
      </c>
      <c r="B33" s="154">
        <v>25000</v>
      </c>
      <c r="C33" s="154">
        <v>0</v>
      </c>
      <c r="D33" s="155">
        <v>0</v>
      </c>
      <c r="E33" s="156">
        <v>0</v>
      </c>
      <c r="F33" s="162">
        <v>25000</v>
      </c>
      <c r="G33" s="162">
        <v>25000</v>
      </c>
    </row>
    <row r="34" spans="1:7" s="18" customFormat="1" ht="15">
      <c r="A34" s="154" t="s">
        <v>270</v>
      </c>
      <c r="B34" s="154">
        <v>400</v>
      </c>
      <c r="C34" s="154">
        <v>0</v>
      </c>
      <c r="D34" s="155">
        <v>0</v>
      </c>
      <c r="E34" s="156">
        <v>0</v>
      </c>
      <c r="F34" s="162">
        <v>400</v>
      </c>
      <c r="G34" s="162">
        <v>400</v>
      </c>
    </row>
    <row r="35" spans="1:7" s="18" customFormat="1" ht="15">
      <c r="A35" s="154" t="s">
        <v>271</v>
      </c>
      <c r="B35" s="154">
        <v>5070</v>
      </c>
      <c r="C35" s="154">
        <v>-1130</v>
      </c>
      <c r="D35" s="155">
        <v>-1130</v>
      </c>
      <c r="E35" s="156">
        <v>-22.29</v>
      </c>
      <c r="F35" s="162">
        <v>3940</v>
      </c>
      <c r="G35" s="162">
        <v>3940</v>
      </c>
    </row>
    <row r="37" ht="12.75">
      <c r="A37" s="163" t="s">
        <v>272</v>
      </c>
    </row>
    <row r="38" ht="12.75">
      <c r="A38" s="18" t="s">
        <v>273</v>
      </c>
    </row>
    <row r="39" ht="12.75">
      <c r="A39" s="18" t="s">
        <v>274</v>
      </c>
    </row>
    <row r="40" ht="12.75">
      <c r="A40" s="18" t="s">
        <v>275</v>
      </c>
    </row>
    <row r="41" ht="12.75">
      <c r="A41" s="18" t="s">
        <v>276</v>
      </c>
    </row>
  </sheetData>
  <sheetProtection/>
  <mergeCells count="1">
    <mergeCell ref="A1:G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&amp;R&amp;"Arial,Kurzíva"Kapitola A.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71"/>
  <sheetViews>
    <sheetView showGridLines="0" zoomScale="80" zoomScaleNormal="80" workbookViewId="0" topLeftCell="A1">
      <selection activeCell="E15" sqref="E15"/>
    </sheetView>
  </sheetViews>
  <sheetFormatPr defaultColWidth="9.140625" defaultRowHeight="12.75"/>
  <cols>
    <col min="1" max="1" width="84.8515625" style="165" customWidth="1"/>
    <col min="2" max="2" width="13.7109375" style="165" bestFit="1" customWidth="1"/>
    <col min="3" max="3" width="6.00390625" style="165" bestFit="1" customWidth="1"/>
    <col min="4" max="4" width="8.57421875" style="165" bestFit="1" customWidth="1"/>
    <col min="5" max="7" width="6.00390625" style="165" bestFit="1" customWidth="1"/>
    <col min="8" max="8" width="8.57421875" style="165" bestFit="1" customWidth="1"/>
    <col min="9" max="9" width="8.8515625" style="165" bestFit="1" customWidth="1"/>
    <col min="10" max="11" width="8.57421875" style="165" bestFit="1" customWidth="1"/>
    <col min="12" max="12" width="8.8515625" style="165" bestFit="1" customWidth="1"/>
    <col min="13" max="13" width="3.8515625" style="165" bestFit="1" customWidth="1"/>
    <col min="14" max="15" width="6.00390625" style="165" bestFit="1" customWidth="1"/>
    <col min="16" max="16" width="7.140625" style="165" bestFit="1" customWidth="1"/>
    <col min="17" max="17" width="6.7109375" style="165" bestFit="1" customWidth="1"/>
    <col min="18" max="18" width="6.00390625" style="165" bestFit="1" customWidth="1"/>
    <col min="19" max="19" width="10.28125" style="165" bestFit="1" customWidth="1"/>
    <col min="20" max="20" width="12.00390625" style="165" bestFit="1" customWidth="1"/>
    <col min="21" max="21" width="9.8515625" style="165" bestFit="1" customWidth="1"/>
    <col min="22" max="22" width="8.8515625" style="165" bestFit="1" customWidth="1"/>
    <col min="23" max="23" width="9.8515625" style="165" bestFit="1" customWidth="1"/>
    <col min="24" max="24" width="8.8515625" style="165" bestFit="1" customWidth="1"/>
    <col min="25" max="25" width="8.57421875" style="165" bestFit="1" customWidth="1"/>
    <col min="26" max="26" width="6.7109375" style="165" bestFit="1" customWidth="1"/>
    <col min="27" max="27" width="17.421875" style="165" bestFit="1" customWidth="1"/>
    <col min="28" max="28" width="8.57421875" style="32" bestFit="1" customWidth="1"/>
    <col min="29" max="29" width="7.140625" style="165" bestFit="1" customWidth="1"/>
    <col min="30" max="30" width="8.8515625" style="165" bestFit="1" customWidth="1"/>
    <col min="31" max="31" width="10.57421875" style="165" bestFit="1" customWidth="1"/>
    <col min="32" max="32" width="6.00390625" style="165" bestFit="1" customWidth="1"/>
    <col min="33" max="33" width="7.8515625" style="165" bestFit="1" customWidth="1"/>
    <col min="34" max="34" width="6.7109375" style="165" bestFit="1" customWidth="1"/>
    <col min="35" max="37" width="6.00390625" style="165" bestFit="1" customWidth="1"/>
    <col min="38" max="38" width="7.8515625" style="165" bestFit="1" customWidth="1"/>
    <col min="39" max="41" width="6.00390625" style="165" bestFit="1" customWidth="1"/>
    <col min="42" max="42" width="3.8515625" style="165" bestFit="1" customWidth="1"/>
    <col min="43" max="43" width="6.7109375" style="165" bestFit="1" customWidth="1"/>
    <col min="44" max="44" width="8.8515625" style="165" bestFit="1" customWidth="1"/>
    <col min="45" max="45" width="8.140625" style="165" bestFit="1" customWidth="1"/>
    <col min="46" max="46" width="10.8515625" style="165" bestFit="1" customWidth="1"/>
    <col min="47" max="47" width="9.8515625" style="165" bestFit="1" customWidth="1"/>
    <col min="48" max="48" width="6.00390625" style="165" bestFit="1" customWidth="1"/>
    <col min="49" max="49" width="8.140625" style="165" bestFit="1" customWidth="1"/>
    <col min="50" max="50" width="6.00390625" style="165" bestFit="1" customWidth="1"/>
    <col min="51" max="51" width="10.8515625" style="165" bestFit="1" customWidth="1"/>
    <col min="52" max="52" width="13.7109375" style="165" bestFit="1" customWidth="1"/>
    <col min="53" max="53" width="12.00390625" style="165" bestFit="1" customWidth="1"/>
    <col min="54" max="16384" width="9.140625" style="165" customWidth="1"/>
  </cols>
  <sheetData>
    <row r="1" spans="1:52" ht="18">
      <c r="A1" s="436" t="s">
        <v>176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T1" s="31"/>
      <c r="U1" s="31"/>
      <c r="V1" s="31"/>
      <c r="W1" s="31"/>
      <c r="X1" s="31"/>
      <c r="Y1" s="31"/>
      <c r="Z1" s="31"/>
      <c r="AA1" s="166"/>
      <c r="AZ1" s="166"/>
    </row>
    <row r="2" ht="15">
      <c r="A2" s="167" t="s">
        <v>284</v>
      </c>
    </row>
    <row r="3" spans="1:52" ht="15.75">
      <c r="A3" s="33"/>
      <c r="S3" s="168"/>
      <c r="T3" s="168"/>
      <c r="U3" s="168"/>
      <c r="V3" s="168"/>
      <c r="W3" s="168"/>
      <c r="X3" s="168"/>
      <c r="Y3" s="168"/>
      <c r="Z3" s="168"/>
      <c r="AA3" s="168"/>
      <c r="AB3" s="34"/>
      <c r="AZ3" s="168" t="s">
        <v>24</v>
      </c>
    </row>
    <row r="4" spans="1:52" s="32" customFormat="1" ht="132">
      <c r="A4" s="169" t="s">
        <v>25</v>
      </c>
      <c r="B4" s="170"/>
      <c r="C4" s="171" t="s">
        <v>26</v>
      </c>
      <c r="D4" s="172" t="s">
        <v>27</v>
      </c>
      <c r="E4" s="172" t="s">
        <v>28</v>
      </c>
      <c r="F4" s="172" t="s">
        <v>29</v>
      </c>
      <c r="G4" s="172" t="s">
        <v>30</v>
      </c>
      <c r="H4" s="172" t="s">
        <v>31</v>
      </c>
      <c r="I4" s="172" t="s">
        <v>32</v>
      </c>
      <c r="J4" s="172" t="s">
        <v>33</v>
      </c>
      <c r="K4" s="172" t="s">
        <v>34</v>
      </c>
      <c r="L4" s="172" t="s">
        <v>35</v>
      </c>
      <c r="M4" s="172" t="s">
        <v>36</v>
      </c>
      <c r="N4" s="172" t="s">
        <v>37</v>
      </c>
      <c r="O4" s="172" t="s">
        <v>38</v>
      </c>
      <c r="P4" s="172" t="s">
        <v>39</v>
      </c>
      <c r="Q4" s="172" t="s">
        <v>40</v>
      </c>
      <c r="R4" s="172" t="s">
        <v>41</v>
      </c>
      <c r="S4" s="173"/>
      <c r="T4" s="170"/>
      <c r="U4" s="171" t="s">
        <v>42</v>
      </c>
      <c r="V4" s="172" t="s">
        <v>43</v>
      </c>
      <c r="W4" s="172" t="s">
        <v>44</v>
      </c>
      <c r="X4" s="172" t="s">
        <v>45</v>
      </c>
      <c r="Y4" s="172" t="s">
        <v>46</v>
      </c>
      <c r="Z4" s="172" t="s">
        <v>47</v>
      </c>
      <c r="AA4" s="172" t="s">
        <v>48</v>
      </c>
      <c r="AB4" s="172" t="s">
        <v>49</v>
      </c>
      <c r="AC4" s="172" t="s">
        <v>50</v>
      </c>
      <c r="AD4" s="172" t="s">
        <v>51</v>
      </c>
      <c r="AE4" s="172" t="s">
        <v>52</v>
      </c>
      <c r="AF4" s="172" t="s">
        <v>53</v>
      </c>
      <c r="AG4" s="172" t="s">
        <v>54</v>
      </c>
      <c r="AH4" s="172" t="s">
        <v>55</v>
      </c>
      <c r="AI4" s="172" t="s">
        <v>56</v>
      </c>
      <c r="AJ4" s="172" t="s">
        <v>57</v>
      </c>
      <c r="AK4" s="172" t="s">
        <v>58</v>
      </c>
      <c r="AL4" s="172" t="s">
        <v>59</v>
      </c>
      <c r="AM4" s="172" t="s">
        <v>60</v>
      </c>
      <c r="AN4" s="172" t="s">
        <v>61</v>
      </c>
      <c r="AO4" s="172" t="s">
        <v>62</v>
      </c>
      <c r="AP4" s="172" t="s">
        <v>63</v>
      </c>
      <c r="AQ4" s="172" t="s">
        <v>64</v>
      </c>
      <c r="AR4" s="172" t="s">
        <v>65</v>
      </c>
      <c r="AS4" s="172" t="s">
        <v>66</v>
      </c>
      <c r="AT4" s="172" t="s">
        <v>67</v>
      </c>
      <c r="AU4" s="172" t="s">
        <v>68</v>
      </c>
      <c r="AV4" s="172" t="s">
        <v>177</v>
      </c>
      <c r="AW4" s="172" t="s">
        <v>178</v>
      </c>
      <c r="AX4" s="172" t="s">
        <v>179</v>
      </c>
      <c r="AY4" s="173"/>
      <c r="AZ4" s="174"/>
    </row>
    <row r="5" spans="1:52" ht="12.75">
      <c r="A5" s="175"/>
      <c r="B5" s="176" t="s">
        <v>183</v>
      </c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 t="s">
        <v>69</v>
      </c>
      <c r="T5" s="180" t="s">
        <v>70</v>
      </c>
      <c r="U5" s="177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9"/>
      <c r="AZ5" s="181" t="s">
        <v>183</v>
      </c>
    </row>
    <row r="6" spans="1:52" ht="13.5" thickBot="1">
      <c r="A6" s="175"/>
      <c r="B6" s="182" t="s">
        <v>185</v>
      </c>
      <c r="C6" s="183" t="s">
        <v>71</v>
      </c>
      <c r="D6" s="183" t="s">
        <v>72</v>
      </c>
      <c r="E6" s="183" t="s">
        <v>73</v>
      </c>
      <c r="F6" s="183" t="s">
        <v>74</v>
      </c>
      <c r="G6" s="183" t="s">
        <v>75</v>
      </c>
      <c r="H6" s="183" t="s">
        <v>76</v>
      </c>
      <c r="I6" s="183" t="s">
        <v>77</v>
      </c>
      <c r="J6" s="183" t="s">
        <v>78</v>
      </c>
      <c r="K6" s="183" t="s">
        <v>79</v>
      </c>
      <c r="L6" s="183" t="s">
        <v>80</v>
      </c>
      <c r="M6" s="183" t="s">
        <v>81</v>
      </c>
      <c r="N6" s="183" t="s">
        <v>82</v>
      </c>
      <c r="O6" s="183" t="s">
        <v>83</v>
      </c>
      <c r="P6" s="183" t="s">
        <v>84</v>
      </c>
      <c r="Q6" s="183" t="s">
        <v>85</v>
      </c>
      <c r="R6" s="183" t="s">
        <v>86</v>
      </c>
      <c r="S6" s="184" t="s">
        <v>87</v>
      </c>
      <c r="T6" s="185" t="s">
        <v>88</v>
      </c>
      <c r="U6" s="183" t="s">
        <v>89</v>
      </c>
      <c r="V6" s="183" t="s">
        <v>90</v>
      </c>
      <c r="W6" s="183" t="s">
        <v>91</v>
      </c>
      <c r="X6" s="183" t="s">
        <v>92</v>
      </c>
      <c r="Y6" s="183" t="s">
        <v>93</v>
      </c>
      <c r="Z6" s="183" t="s">
        <v>94</v>
      </c>
      <c r="AA6" s="183" t="s">
        <v>95</v>
      </c>
      <c r="AB6" s="183" t="s">
        <v>96</v>
      </c>
      <c r="AC6" s="183" t="s">
        <v>97</v>
      </c>
      <c r="AD6" s="183" t="s">
        <v>98</v>
      </c>
      <c r="AE6" s="183" t="s">
        <v>99</v>
      </c>
      <c r="AF6" s="183" t="s">
        <v>100</v>
      </c>
      <c r="AG6" s="183" t="s">
        <v>101</v>
      </c>
      <c r="AH6" s="183" t="s">
        <v>102</v>
      </c>
      <c r="AI6" s="183" t="s">
        <v>103</v>
      </c>
      <c r="AJ6" s="183" t="s">
        <v>104</v>
      </c>
      <c r="AK6" s="183" t="s">
        <v>105</v>
      </c>
      <c r="AL6" s="183" t="s">
        <v>106</v>
      </c>
      <c r="AM6" s="183" t="s">
        <v>107</v>
      </c>
      <c r="AN6" s="183" t="s">
        <v>108</v>
      </c>
      <c r="AO6" s="183" t="s">
        <v>109</v>
      </c>
      <c r="AP6" s="183" t="s">
        <v>110</v>
      </c>
      <c r="AQ6" s="183" t="s">
        <v>111</v>
      </c>
      <c r="AR6" s="183" t="s">
        <v>112</v>
      </c>
      <c r="AS6" s="183" t="s">
        <v>113</v>
      </c>
      <c r="AT6" s="183" t="s">
        <v>114</v>
      </c>
      <c r="AU6" s="183" t="s">
        <v>115</v>
      </c>
      <c r="AV6" s="183" t="s">
        <v>180</v>
      </c>
      <c r="AW6" s="183" t="s">
        <v>181</v>
      </c>
      <c r="AX6" s="183" t="s">
        <v>182</v>
      </c>
      <c r="AY6" s="184" t="s">
        <v>116</v>
      </c>
      <c r="AZ6" s="186" t="s">
        <v>184</v>
      </c>
    </row>
    <row r="7" spans="1:52" s="35" customFormat="1" ht="15">
      <c r="A7" s="187" t="s">
        <v>117</v>
      </c>
      <c r="B7" s="188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  <c r="T7" s="192"/>
      <c r="U7" s="189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1"/>
      <c r="AZ7" s="193"/>
    </row>
    <row r="8" spans="1:52" ht="12.75">
      <c r="A8" s="194" t="s">
        <v>118</v>
      </c>
      <c r="B8" s="195">
        <v>600610</v>
      </c>
      <c r="C8" s="196"/>
      <c r="D8" s="197"/>
      <c r="E8" s="197"/>
      <c r="F8" s="197"/>
      <c r="G8" s="197"/>
      <c r="H8" s="197"/>
      <c r="I8" s="197"/>
      <c r="J8" s="197"/>
      <c r="K8" s="197"/>
      <c r="L8" s="197">
        <v>-589373</v>
      </c>
      <c r="M8" s="197"/>
      <c r="N8" s="197"/>
      <c r="O8" s="197"/>
      <c r="P8" s="197"/>
      <c r="Q8" s="197"/>
      <c r="R8" s="197"/>
      <c r="S8" s="198">
        <v>-589373</v>
      </c>
      <c r="T8" s="199">
        <v>11237</v>
      </c>
      <c r="U8" s="196"/>
      <c r="V8" s="197"/>
      <c r="W8" s="197"/>
      <c r="X8" s="197"/>
      <c r="Y8" s="197"/>
      <c r="Z8" s="197">
        <v>-2100</v>
      </c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>
        <v>10455742</v>
      </c>
      <c r="AU8" s="197"/>
      <c r="AV8" s="197"/>
      <c r="AW8" s="197"/>
      <c r="AX8" s="197"/>
      <c r="AY8" s="198">
        <f>SUM(U8:AX8)</f>
        <v>10453642</v>
      </c>
      <c r="AZ8" s="200">
        <f>+AY8+T8</f>
        <v>10464879</v>
      </c>
    </row>
    <row r="9" spans="1:53" ht="12.75">
      <c r="A9" s="194" t="s">
        <v>119</v>
      </c>
      <c r="B9" s="195">
        <v>119211935</v>
      </c>
      <c r="C9" s="196"/>
      <c r="D9" s="197"/>
      <c r="E9" s="197"/>
      <c r="F9" s="197"/>
      <c r="G9" s="197"/>
      <c r="H9" s="197"/>
      <c r="I9" s="197"/>
      <c r="J9" s="197"/>
      <c r="K9" s="197"/>
      <c r="L9" s="197">
        <v>-589373</v>
      </c>
      <c r="M9" s="197"/>
      <c r="N9" s="197"/>
      <c r="O9" s="197"/>
      <c r="P9" s="197"/>
      <c r="Q9" s="197">
        <v>-4391</v>
      </c>
      <c r="R9" s="197"/>
      <c r="S9" s="198">
        <v>-593764</v>
      </c>
      <c r="T9" s="199">
        <v>118618171</v>
      </c>
      <c r="U9" s="196">
        <v>1445921</v>
      </c>
      <c r="V9" s="197">
        <v>136193</v>
      </c>
      <c r="W9" s="197">
        <v>4503796</v>
      </c>
      <c r="X9" s="197">
        <v>-30004</v>
      </c>
      <c r="Y9" s="197"/>
      <c r="Z9" s="197"/>
      <c r="AA9" s="197"/>
      <c r="AB9" s="197">
        <v>1650</v>
      </c>
      <c r="AC9" s="197">
        <v>26225</v>
      </c>
      <c r="AD9" s="197">
        <v>-702313</v>
      </c>
      <c r="AE9" s="197">
        <v>-1429496</v>
      </c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>
        <v>194370</v>
      </c>
      <c r="AT9" s="197">
        <v>10455742</v>
      </c>
      <c r="AU9" s="197">
        <v>1080000</v>
      </c>
      <c r="AV9" s="197"/>
      <c r="AW9" s="197">
        <v>361378</v>
      </c>
      <c r="AX9" s="197"/>
      <c r="AY9" s="198">
        <f aca="true" t="shared" si="0" ref="AY9:AY71">SUM(U9:AX9)</f>
        <v>16043462</v>
      </c>
      <c r="AZ9" s="200">
        <f aca="true" t="shared" si="1" ref="AZ9:AZ71">+AY9+T9</f>
        <v>134661633</v>
      </c>
      <c r="BA9" s="201"/>
    </row>
    <row r="10" spans="1:52" ht="15">
      <c r="A10" s="202" t="s">
        <v>120</v>
      </c>
      <c r="B10" s="203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>
        <v>0</v>
      </c>
      <c r="T10" s="207">
        <v>0</v>
      </c>
      <c r="U10" s="204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6"/>
      <c r="AZ10" s="208"/>
    </row>
    <row r="11" spans="1:52" ht="12.75">
      <c r="A11" s="209" t="s">
        <v>121</v>
      </c>
      <c r="B11" s="195"/>
      <c r="C11" s="21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198">
        <v>0</v>
      </c>
      <c r="T11" s="199">
        <v>0</v>
      </c>
      <c r="U11" s="210"/>
      <c r="V11" s="211"/>
      <c r="W11" s="211"/>
      <c r="X11" s="211"/>
      <c r="Y11" s="211"/>
      <c r="Z11" s="211">
        <v>400</v>
      </c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198">
        <f t="shared" si="0"/>
        <v>400</v>
      </c>
      <c r="AZ11" s="200">
        <f t="shared" si="1"/>
        <v>400</v>
      </c>
    </row>
    <row r="12" spans="1:52" ht="12.75">
      <c r="A12" s="209" t="s">
        <v>122</v>
      </c>
      <c r="B12" s="195">
        <v>600610</v>
      </c>
      <c r="C12" s="210"/>
      <c r="D12" s="211"/>
      <c r="E12" s="211"/>
      <c r="F12" s="211"/>
      <c r="G12" s="211"/>
      <c r="H12" s="211"/>
      <c r="I12" s="211"/>
      <c r="J12" s="211"/>
      <c r="K12" s="211"/>
      <c r="L12" s="211">
        <v>-589373</v>
      </c>
      <c r="M12" s="211"/>
      <c r="N12" s="211"/>
      <c r="O12" s="211"/>
      <c r="P12" s="211"/>
      <c r="Q12" s="211"/>
      <c r="R12" s="211"/>
      <c r="S12" s="198">
        <v>-589373</v>
      </c>
      <c r="T12" s="199">
        <v>11237</v>
      </c>
      <c r="U12" s="210"/>
      <c r="V12" s="211"/>
      <c r="W12" s="211"/>
      <c r="X12" s="211"/>
      <c r="Y12" s="211"/>
      <c r="Z12" s="211">
        <v>-2500</v>
      </c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>
        <v>10455742</v>
      </c>
      <c r="AU12" s="211"/>
      <c r="AV12" s="211"/>
      <c r="AW12" s="211"/>
      <c r="AX12" s="211"/>
      <c r="AY12" s="198">
        <f t="shared" si="0"/>
        <v>10453242</v>
      </c>
      <c r="AZ12" s="200">
        <f t="shared" si="1"/>
        <v>10464479</v>
      </c>
    </row>
    <row r="13" spans="1:52" ht="12.75">
      <c r="A13" s="209" t="s">
        <v>123</v>
      </c>
      <c r="B13" s="195">
        <v>345242</v>
      </c>
      <c r="C13" s="210"/>
      <c r="D13" s="211"/>
      <c r="E13" s="211"/>
      <c r="F13" s="211"/>
      <c r="G13" s="211"/>
      <c r="H13" s="211"/>
      <c r="I13" s="211">
        <v>-345242</v>
      </c>
      <c r="J13" s="211"/>
      <c r="K13" s="211"/>
      <c r="L13" s="211"/>
      <c r="M13" s="211"/>
      <c r="N13" s="211"/>
      <c r="O13" s="211"/>
      <c r="P13" s="211"/>
      <c r="Q13" s="211"/>
      <c r="R13" s="211"/>
      <c r="S13" s="198">
        <v>-345242</v>
      </c>
      <c r="T13" s="199">
        <v>0</v>
      </c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198">
        <f t="shared" si="0"/>
        <v>0</v>
      </c>
      <c r="AZ13" s="200">
        <f t="shared" si="1"/>
        <v>0</v>
      </c>
    </row>
    <row r="14" spans="1:52" ht="12.75">
      <c r="A14" s="209" t="s">
        <v>124</v>
      </c>
      <c r="B14" s="195">
        <v>200000</v>
      </c>
      <c r="C14" s="210"/>
      <c r="D14" s="211"/>
      <c r="E14" s="211"/>
      <c r="F14" s="211"/>
      <c r="G14" s="211"/>
      <c r="H14" s="211"/>
      <c r="I14" s="211">
        <v>345242</v>
      </c>
      <c r="J14" s="211"/>
      <c r="K14" s="211"/>
      <c r="L14" s="211">
        <v>-545242</v>
      </c>
      <c r="M14" s="211"/>
      <c r="N14" s="211"/>
      <c r="O14" s="211"/>
      <c r="P14" s="211"/>
      <c r="Q14" s="211"/>
      <c r="R14" s="211"/>
      <c r="S14" s="198">
        <v>-200000</v>
      </c>
      <c r="T14" s="199">
        <v>0</v>
      </c>
      <c r="U14" s="210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>
        <v>10436311</v>
      </c>
      <c r="AU14" s="211"/>
      <c r="AV14" s="211"/>
      <c r="AW14" s="211"/>
      <c r="AX14" s="211"/>
      <c r="AY14" s="198">
        <f t="shared" si="0"/>
        <v>10436311</v>
      </c>
      <c r="AZ14" s="200">
        <f t="shared" si="1"/>
        <v>10436311</v>
      </c>
    </row>
    <row r="15" spans="1:52" ht="12.75">
      <c r="A15" s="209" t="s">
        <v>125</v>
      </c>
      <c r="B15" s="195">
        <v>44131</v>
      </c>
      <c r="C15" s="210"/>
      <c r="D15" s="211"/>
      <c r="E15" s="211"/>
      <c r="F15" s="211"/>
      <c r="G15" s="211"/>
      <c r="H15" s="211"/>
      <c r="I15" s="211"/>
      <c r="J15" s="211"/>
      <c r="K15" s="211"/>
      <c r="L15" s="211">
        <v>-44131</v>
      </c>
      <c r="M15" s="211"/>
      <c r="N15" s="211"/>
      <c r="O15" s="211"/>
      <c r="P15" s="211"/>
      <c r="Q15" s="211"/>
      <c r="R15" s="211"/>
      <c r="S15" s="198">
        <v>-44131</v>
      </c>
      <c r="T15" s="199">
        <v>0</v>
      </c>
      <c r="U15" s="210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>
        <v>19431</v>
      </c>
      <c r="AU15" s="211"/>
      <c r="AV15" s="211"/>
      <c r="AW15" s="211"/>
      <c r="AX15" s="211"/>
      <c r="AY15" s="198">
        <f t="shared" si="0"/>
        <v>19431</v>
      </c>
      <c r="AZ15" s="200">
        <f t="shared" si="1"/>
        <v>19431</v>
      </c>
    </row>
    <row r="16" spans="1:52" ht="12.75">
      <c r="A16" s="209" t="s">
        <v>126</v>
      </c>
      <c r="B16" s="195">
        <v>11237</v>
      </c>
      <c r="C16" s="21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198">
        <v>0</v>
      </c>
      <c r="T16" s="199">
        <v>11237</v>
      </c>
      <c r="U16" s="210"/>
      <c r="V16" s="211"/>
      <c r="W16" s="211"/>
      <c r="X16" s="211"/>
      <c r="Y16" s="211"/>
      <c r="Z16" s="211">
        <v>-2500</v>
      </c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198">
        <f t="shared" si="0"/>
        <v>-2500</v>
      </c>
      <c r="AZ16" s="200">
        <f t="shared" si="1"/>
        <v>8737</v>
      </c>
    </row>
    <row r="17" spans="1:52" ht="15">
      <c r="A17" s="202" t="s">
        <v>127</v>
      </c>
      <c r="B17" s="203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6"/>
      <c r="T17" s="207"/>
      <c r="U17" s="204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6"/>
      <c r="AZ17" s="208"/>
    </row>
    <row r="18" spans="1:52" ht="12.75">
      <c r="A18" s="209" t="s">
        <v>128</v>
      </c>
      <c r="B18" s="195">
        <v>33822076</v>
      </c>
      <c r="C18" s="210"/>
      <c r="D18" s="211"/>
      <c r="E18" s="211"/>
      <c r="F18" s="211"/>
      <c r="G18" s="211"/>
      <c r="H18" s="211"/>
      <c r="I18" s="211"/>
      <c r="J18" s="211"/>
      <c r="K18" s="211">
        <v>1000</v>
      </c>
      <c r="L18" s="211">
        <v>-113369</v>
      </c>
      <c r="M18" s="211"/>
      <c r="N18" s="211"/>
      <c r="O18" s="211"/>
      <c r="P18" s="211"/>
      <c r="Q18" s="211"/>
      <c r="R18" s="211">
        <v>-944</v>
      </c>
      <c r="S18" s="198">
        <v>-113313</v>
      </c>
      <c r="T18" s="199">
        <v>33708763</v>
      </c>
      <c r="U18" s="210">
        <v>267158</v>
      </c>
      <c r="V18" s="211">
        <v>136193</v>
      </c>
      <c r="W18" s="211"/>
      <c r="X18" s="211">
        <v>195100</v>
      </c>
      <c r="Y18" s="211"/>
      <c r="Z18" s="211"/>
      <c r="AA18" s="211"/>
      <c r="AB18" s="211"/>
      <c r="AC18" s="211"/>
      <c r="AD18" s="211">
        <v>-123686</v>
      </c>
      <c r="AE18" s="211">
        <v>-318899</v>
      </c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>
        <v>-480000</v>
      </c>
      <c r="AS18" s="211"/>
      <c r="AT18" s="211">
        <v>4715420</v>
      </c>
      <c r="AU18" s="211">
        <v>1000000</v>
      </c>
      <c r="AV18" s="211"/>
      <c r="AW18" s="211"/>
      <c r="AX18" s="211"/>
      <c r="AY18" s="198">
        <f t="shared" si="0"/>
        <v>5391286</v>
      </c>
      <c r="AZ18" s="200">
        <f t="shared" si="1"/>
        <v>39100049</v>
      </c>
    </row>
    <row r="19" spans="1:52" s="35" customFormat="1" ht="12.75">
      <c r="A19" s="209" t="s">
        <v>129</v>
      </c>
      <c r="B19" s="195">
        <v>24101935</v>
      </c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>
        <v>-944</v>
      </c>
      <c r="S19" s="198">
        <v>-944</v>
      </c>
      <c r="T19" s="199">
        <v>24100991</v>
      </c>
      <c r="U19" s="210">
        <v>266744</v>
      </c>
      <c r="V19" s="211"/>
      <c r="W19" s="211"/>
      <c r="X19" s="211">
        <v>195100</v>
      </c>
      <c r="Y19" s="211"/>
      <c r="Z19" s="211"/>
      <c r="AA19" s="211"/>
      <c r="AB19" s="211"/>
      <c r="AC19" s="211"/>
      <c r="AD19" s="211">
        <v>-123686</v>
      </c>
      <c r="AE19" s="211">
        <v>-318899</v>
      </c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>
        <v>-480000</v>
      </c>
      <c r="AS19" s="211"/>
      <c r="AT19" s="211"/>
      <c r="AU19" s="211">
        <v>1000000</v>
      </c>
      <c r="AV19" s="211"/>
      <c r="AW19" s="211"/>
      <c r="AX19" s="211"/>
      <c r="AY19" s="198">
        <f t="shared" si="0"/>
        <v>539259</v>
      </c>
      <c r="AZ19" s="200">
        <f t="shared" si="1"/>
        <v>24640250</v>
      </c>
    </row>
    <row r="20" spans="1:52" s="35" customFormat="1" ht="12.75">
      <c r="A20" s="209" t="s">
        <v>130</v>
      </c>
      <c r="B20" s="195">
        <v>9720141</v>
      </c>
      <c r="C20" s="210"/>
      <c r="D20" s="211"/>
      <c r="E20" s="211"/>
      <c r="F20" s="211"/>
      <c r="G20" s="211"/>
      <c r="H20" s="211"/>
      <c r="I20" s="211"/>
      <c r="J20" s="211"/>
      <c r="K20" s="211">
        <v>1000</v>
      </c>
      <c r="L20" s="211">
        <v>-113369</v>
      </c>
      <c r="M20" s="211"/>
      <c r="N20" s="211"/>
      <c r="O20" s="211"/>
      <c r="P20" s="211"/>
      <c r="Q20" s="211"/>
      <c r="R20" s="211"/>
      <c r="S20" s="198">
        <v>-112369</v>
      </c>
      <c r="T20" s="199">
        <v>9607772</v>
      </c>
      <c r="U20" s="210">
        <v>414</v>
      </c>
      <c r="V20" s="211">
        <v>136193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>
        <v>4715420</v>
      </c>
      <c r="AU20" s="211"/>
      <c r="AV20" s="211"/>
      <c r="AW20" s="211"/>
      <c r="AX20" s="211"/>
      <c r="AY20" s="198">
        <f t="shared" si="0"/>
        <v>4852027</v>
      </c>
      <c r="AZ20" s="200">
        <f t="shared" si="1"/>
        <v>14459799</v>
      </c>
    </row>
    <row r="21" spans="1:52" s="35" customFormat="1" ht="12.75">
      <c r="A21" s="209" t="s">
        <v>131</v>
      </c>
      <c r="B21" s="195">
        <v>77407546</v>
      </c>
      <c r="C21" s="210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198">
        <v>0</v>
      </c>
      <c r="T21" s="199">
        <v>77407546</v>
      </c>
      <c r="U21" s="210">
        <v>1138716</v>
      </c>
      <c r="V21" s="211"/>
      <c r="W21" s="211">
        <v>4421734</v>
      </c>
      <c r="X21" s="211"/>
      <c r="Y21" s="211"/>
      <c r="Z21" s="211"/>
      <c r="AA21" s="211">
        <v>-124400</v>
      </c>
      <c r="AB21" s="211"/>
      <c r="AC21" s="211"/>
      <c r="AD21" s="211">
        <v>-560815</v>
      </c>
      <c r="AE21" s="211">
        <v>-1055413</v>
      </c>
      <c r="AF21" s="211"/>
      <c r="AG21" s="211">
        <v>-12000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>
        <v>800000</v>
      </c>
      <c r="AS21" s="211"/>
      <c r="AT21" s="211"/>
      <c r="AU21" s="211">
        <v>80000</v>
      </c>
      <c r="AV21" s="211"/>
      <c r="AW21" s="211">
        <v>327398</v>
      </c>
      <c r="AX21" s="211"/>
      <c r="AY21" s="198">
        <f t="shared" si="0"/>
        <v>5015220</v>
      </c>
      <c r="AZ21" s="200">
        <f t="shared" si="1"/>
        <v>82422766</v>
      </c>
    </row>
    <row r="22" spans="1:52" s="35" customFormat="1" ht="12.75">
      <c r="A22" s="209" t="s">
        <v>132</v>
      </c>
      <c r="B22" s="195">
        <v>2355933</v>
      </c>
      <c r="C22" s="210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198">
        <v>0</v>
      </c>
      <c r="T22" s="199">
        <v>2355933</v>
      </c>
      <c r="U22" s="210">
        <v>23382</v>
      </c>
      <c r="V22" s="211"/>
      <c r="W22" s="211">
        <v>82062</v>
      </c>
      <c r="X22" s="211">
        <v>30000</v>
      </c>
      <c r="Y22" s="211"/>
      <c r="Z22" s="211"/>
      <c r="AA22" s="211"/>
      <c r="AB22" s="211"/>
      <c r="AC22" s="211"/>
      <c r="AD22" s="211">
        <v>-10976</v>
      </c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>
        <v>-220000</v>
      </c>
      <c r="AS22" s="211"/>
      <c r="AT22" s="211"/>
      <c r="AU22" s="211"/>
      <c r="AV22" s="211"/>
      <c r="AW22" s="211">
        <v>7050</v>
      </c>
      <c r="AX22" s="211"/>
      <c r="AY22" s="198">
        <f t="shared" si="0"/>
        <v>-88482</v>
      </c>
      <c r="AZ22" s="200">
        <f t="shared" si="1"/>
        <v>2267451</v>
      </c>
    </row>
    <row r="23" spans="1:52" s="35" customFormat="1" ht="12.75">
      <c r="A23" s="209" t="s">
        <v>133</v>
      </c>
      <c r="B23" s="195">
        <v>230883</v>
      </c>
      <c r="C23" s="210"/>
      <c r="D23" s="211"/>
      <c r="E23" s="211"/>
      <c r="F23" s="211"/>
      <c r="G23" s="211"/>
      <c r="H23" s="211">
        <v>1000</v>
      </c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198">
        <v>1000</v>
      </c>
      <c r="T23" s="199">
        <v>231883</v>
      </c>
      <c r="U23" s="210">
        <v>136</v>
      </c>
      <c r="V23" s="211"/>
      <c r="W23" s="211"/>
      <c r="X23" s="211"/>
      <c r="Y23" s="211"/>
      <c r="Z23" s="211"/>
      <c r="AA23" s="211"/>
      <c r="AB23" s="211"/>
      <c r="AC23" s="211"/>
      <c r="AD23" s="211"/>
      <c r="AE23" s="211">
        <v>-3068</v>
      </c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198">
        <f t="shared" si="0"/>
        <v>-2932</v>
      </c>
      <c r="AZ23" s="200">
        <f t="shared" si="1"/>
        <v>228951</v>
      </c>
    </row>
    <row r="24" spans="1:52" s="35" customFormat="1" ht="12.75">
      <c r="A24" s="209" t="s">
        <v>134</v>
      </c>
      <c r="B24" s="195">
        <v>2234450</v>
      </c>
      <c r="C24" s="210"/>
      <c r="D24" s="211"/>
      <c r="E24" s="211">
        <v>306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198">
        <v>306</v>
      </c>
      <c r="T24" s="199">
        <v>2234756</v>
      </c>
      <c r="U24" s="210">
        <v>627</v>
      </c>
      <c r="V24" s="211"/>
      <c r="W24" s="211"/>
      <c r="X24" s="211">
        <v>-205000</v>
      </c>
      <c r="Y24" s="211"/>
      <c r="Z24" s="211"/>
      <c r="AA24" s="211"/>
      <c r="AB24" s="211"/>
      <c r="AC24" s="211"/>
      <c r="AD24" s="211">
        <v>-311</v>
      </c>
      <c r="AE24" s="211">
        <v>-29570</v>
      </c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>
        <v>-100000</v>
      </c>
      <c r="AS24" s="211"/>
      <c r="AT24" s="211"/>
      <c r="AU24" s="211"/>
      <c r="AV24" s="211"/>
      <c r="AW24" s="211">
        <v>1024</v>
      </c>
      <c r="AX24" s="211"/>
      <c r="AY24" s="198">
        <f t="shared" si="0"/>
        <v>-333230</v>
      </c>
      <c r="AZ24" s="200">
        <f t="shared" si="1"/>
        <v>1901526</v>
      </c>
    </row>
    <row r="25" spans="1:52" s="35" customFormat="1" ht="12.75">
      <c r="A25" s="209" t="s">
        <v>135</v>
      </c>
      <c r="B25" s="195">
        <v>987256</v>
      </c>
      <c r="C25" s="210"/>
      <c r="D25" s="211"/>
      <c r="E25" s="211">
        <v>306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198">
        <v>306</v>
      </c>
      <c r="T25" s="199">
        <v>987562</v>
      </c>
      <c r="U25" s="210">
        <v>627</v>
      </c>
      <c r="V25" s="211"/>
      <c r="W25" s="211"/>
      <c r="X25" s="211"/>
      <c r="Y25" s="211"/>
      <c r="Z25" s="211"/>
      <c r="AA25" s="211"/>
      <c r="AB25" s="211"/>
      <c r="AC25" s="211"/>
      <c r="AD25" s="211">
        <v>-311</v>
      </c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>
        <v>1024</v>
      </c>
      <c r="AX25" s="211"/>
      <c r="AY25" s="198">
        <f t="shared" si="0"/>
        <v>1340</v>
      </c>
      <c r="AZ25" s="200">
        <f t="shared" si="1"/>
        <v>988902</v>
      </c>
    </row>
    <row r="26" spans="1:52" s="35" customFormat="1" ht="12.75">
      <c r="A26" s="209" t="s">
        <v>136</v>
      </c>
      <c r="B26" s="195">
        <v>1247194</v>
      </c>
      <c r="C26" s="210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198">
        <v>0</v>
      </c>
      <c r="T26" s="199">
        <v>1247194</v>
      </c>
      <c r="U26" s="210"/>
      <c r="V26" s="211"/>
      <c r="W26" s="211"/>
      <c r="X26" s="211">
        <v>-205000</v>
      </c>
      <c r="Y26" s="211"/>
      <c r="Z26" s="211"/>
      <c r="AA26" s="211"/>
      <c r="AB26" s="211"/>
      <c r="AC26" s="211"/>
      <c r="AD26" s="211"/>
      <c r="AE26" s="211">
        <v>-29570</v>
      </c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>
        <v>-100000</v>
      </c>
      <c r="AS26" s="211"/>
      <c r="AT26" s="211"/>
      <c r="AU26" s="211"/>
      <c r="AV26" s="211"/>
      <c r="AW26" s="211"/>
      <c r="AX26" s="211"/>
      <c r="AY26" s="198">
        <f t="shared" si="0"/>
        <v>-334570</v>
      </c>
      <c r="AZ26" s="200">
        <f t="shared" si="1"/>
        <v>912624</v>
      </c>
    </row>
    <row r="27" spans="1:52" s="35" customFormat="1" ht="12.75">
      <c r="A27" s="68" t="s">
        <v>203</v>
      </c>
      <c r="B27" s="195">
        <v>1365248</v>
      </c>
      <c r="C27" s="210"/>
      <c r="D27" s="211"/>
      <c r="E27" s="211"/>
      <c r="F27" s="211"/>
      <c r="G27" s="211"/>
      <c r="H27" s="211"/>
      <c r="I27" s="211">
        <v>1000</v>
      </c>
      <c r="J27" s="211"/>
      <c r="K27" s="211"/>
      <c r="L27" s="211">
        <v>-476004</v>
      </c>
      <c r="M27" s="211"/>
      <c r="N27" s="211"/>
      <c r="O27" s="211"/>
      <c r="P27" s="211"/>
      <c r="Q27" s="211"/>
      <c r="R27" s="211"/>
      <c r="S27" s="198">
        <v>-475004</v>
      </c>
      <c r="T27" s="199">
        <v>890244</v>
      </c>
      <c r="U27" s="210">
        <v>2584</v>
      </c>
      <c r="V27" s="211"/>
      <c r="W27" s="211"/>
      <c r="X27" s="211"/>
      <c r="Y27" s="211"/>
      <c r="Z27" s="211"/>
      <c r="AA27" s="211">
        <v>124400</v>
      </c>
      <c r="AB27" s="211"/>
      <c r="AC27" s="211"/>
      <c r="AD27" s="211"/>
      <c r="AE27" s="211"/>
      <c r="AF27" s="211"/>
      <c r="AG27" s="211"/>
      <c r="AH27" s="211">
        <v>-5500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>
        <v>5740322</v>
      </c>
      <c r="AU27" s="211"/>
      <c r="AV27" s="211"/>
      <c r="AW27" s="211"/>
      <c r="AX27" s="211"/>
      <c r="AY27" s="198">
        <f t="shared" si="0"/>
        <v>5861806</v>
      </c>
      <c r="AZ27" s="200">
        <f t="shared" si="1"/>
        <v>6752050</v>
      </c>
    </row>
    <row r="28" spans="1:52" s="35" customFormat="1" ht="12.75">
      <c r="A28" s="209" t="s">
        <v>137</v>
      </c>
      <c r="B28" s="195">
        <v>1795799</v>
      </c>
      <c r="C28" s="210"/>
      <c r="D28" s="211"/>
      <c r="E28" s="211">
        <v>-306</v>
      </c>
      <c r="F28" s="211"/>
      <c r="G28" s="211"/>
      <c r="H28" s="211">
        <v>-1000</v>
      </c>
      <c r="I28" s="211">
        <v>-1000</v>
      </c>
      <c r="J28" s="211"/>
      <c r="K28" s="211">
        <v>-1000</v>
      </c>
      <c r="L28" s="211"/>
      <c r="M28" s="211"/>
      <c r="N28" s="211"/>
      <c r="O28" s="211"/>
      <c r="P28" s="211"/>
      <c r="Q28" s="211">
        <v>-4391</v>
      </c>
      <c r="R28" s="211">
        <v>944</v>
      </c>
      <c r="S28" s="198">
        <v>-6753</v>
      </c>
      <c r="T28" s="199">
        <v>1789046</v>
      </c>
      <c r="U28" s="210">
        <v>13318</v>
      </c>
      <c r="V28" s="211"/>
      <c r="W28" s="211"/>
      <c r="X28" s="211">
        <v>-50104</v>
      </c>
      <c r="Y28" s="211"/>
      <c r="Z28" s="211"/>
      <c r="AA28" s="211"/>
      <c r="AB28" s="211">
        <v>1650</v>
      </c>
      <c r="AC28" s="211">
        <v>26225</v>
      </c>
      <c r="AD28" s="211">
        <v>-6525</v>
      </c>
      <c r="AE28" s="211">
        <v>-22546</v>
      </c>
      <c r="AF28" s="211"/>
      <c r="AG28" s="211">
        <v>12000</v>
      </c>
      <c r="AH28" s="211">
        <v>5500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>
        <v>194370</v>
      </c>
      <c r="AT28" s="211"/>
      <c r="AU28" s="211"/>
      <c r="AV28" s="211"/>
      <c r="AW28" s="211">
        <v>25906</v>
      </c>
      <c r="AX28" s="211"/>
      <c r="AY28" s="198">
        <f t="shared" si="0"/>
        <v>199794</v>
      </c>
      <c r="AZ28" s="200">
        <f t="shared" si="1"/>
        <v>1988840</v>
      </c>
    </row>
    <row r="29" spans="1:52" ht="12.75">
      <c r="A29" s="209" t="s">
        <v>138</v>
      </c>
      <c r="B29" s="195"/>
      <c r="C29" s="210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198">
        <v>0</v>
      </c>
      <c r="T29" s="199">
        <v>0</v>
      </c>
      <c r="U29" s="210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>
        <v>153450</v>
      </c>
      <c r="AT29" s="211"/>
      <c r="AU29" s="211"/>
      <c r="AV29" s="211"/>
      <c r="AW29" s="211"/>
      <c r="AX29" s="211"/>
      <c r="AY29" s="198">
        <f t="shared" si="0"/>
        <v>153450</v>
      </c>
      <c r="AZ29" s="200">
        <f t="shared" si="1"/>
        <v>153450</v>
      </c>
    </row>
    <row r="30" spans="1:52" ht="12.75">
      <c r="A30" s="209" t="s">
        <v>294</v>
      </c>
      <c r="B30" s="195">
        <v>18629</v>
      </c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>
        <v>-4391</v>
      </c>
      <c r="R30" s="211"/>
      <c r="S30" s="198">
        <v>-4391</v>
      </c>
      <c r="T30" s="199">
        <v>14238</v>
      </c>
      <c r="U30" s="210">
        <v>37</v>
      </c>
      <c r="V30" s="211"/>
      <c r="W30" s="211"/>
      <c r="X30" s="211"/>
      <c r="Y30" s="211"/>
      <c r="Z30" s="211"/>
      <c r="AA30" s="211"/>
      <c r="AB30" s="211"/>
      <c r="AC30" s="211">
        <v>26225</v>
      </c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>
        <v>3989</v>
      </c>
      <c r="AT30" s="211"/>
      <c r="AU30" s="211"/>
      <c r="AV30" s="211"/>
      <c r="AW30" s="211"/>
      <c r="AX30" s="211"/>
      <c r="AY30" s="198">
        <f t="shared" si="0"/>
        <v>30251</v>
      </c>
      <c r="AZ30" s="200">
        <f t="shared" si="1"/>
        <v>44489</v>
      </c>
    </row>
    <row r="31" spans="1:52" ht="12.75">
      <c r="A31" s="209" t="s">
        <v>139</v>
      </c>
      <c r="B31" s="195">
        <v>680</v>
      </c>
      <c r="C31" s="210"/>
      <c r="D31" s="211"/>
      <c r="E31" s="211"/>
      <c r="F31" s="211"/>
      <c r="G31" s="211"/>
      <c r="H31" s="211"/>
      <c r="I31" s="211"/>
      <c r="J31" s="211"/>
      <c r="K31" s="211">
        <v>-680</v>
      </c>
      <c r="L31" s="211"/>
      <c r="M31" s="211"/>
      <c r="N31" s="211"/>
      <c r="O31" s="211"/>
      <c r="P31" s="211"/>
      <c r="Q31" s="211"/>
      <c r="R31" s="211"/>
      <c r="S31" s="198">
        <v>-680</v>
      </c>
      <c r="T31" s="199">
        <v>0</v>
      </c>
      <c r="U31" s="210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198">
        <f t="shared" si="0"/>
        <v>0</v>
      </c>
      <c r="AZ31" s="200">
        <f t="shared" si="1"/>
        <v>0</v>
      </c>
    </row>
    <row r="32" spans="1:52" ht="12.75">
      <c r="A32" s="209" t="s">
        <v>140</v>
      </c>
      <c r="B32" s="195">
        <v>1000</v>
      </c>
      <c r="C32" s="210"/>
      <c r="D32" s="211"/>
      <c r="E32" s="211"/>
      <c r="F32" s="211"/>
      <c r="G32" s="211"/>
      <c r="H32" s="211"/>
      <c r="I32" s="211">
        <v>-1000</v>
      </c>
      <c r="J32" s="211"/>
      <c r="K32" s="211"/>
      <c r="L32" s="211"/>
      <c r="M32" s="211"/>
      <c r="N32" s="211"/>
      <c r="O32" s="211"/>
      <c r="P32" s="211"/>
      <c r="Q32" s="211"/>
      <c r="R32" s="211"/>
      <c r="S32" s="198">
        <v>-1000</v>
      </c>
      <c r="T32" s="199">
        <v>0</v>
      </c>
      <c r="U32" s="210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198">
        <f t="shared" si="0"/>
        <v>0</v>
      </c>
      <c r="AZ32" s="200">
        <f t="shared" si="1"/>
        <v>0</v>
      </c>
    </row>
    <row r="33" spans="1:52" ht="12.75">
      <c r="A33" s="209" t="s">
        <v>141</v>
      </c>
      <c r="B33" s="195">
        <v>1000</v>
      </c>
      <c r="C33" s="210"/>
      <c r="D33" s="211"/>
      <c r="E33" s="211"/>
      <c r="F33" s="211"/>
      <c r="G33" s="211"/>
      <c r="H33" s="211"/>
      <c r="I33" s="211"/>
      <c r="J33" s="211"/>
      <c r="K33" s="211">
        <v>-1000</v>
      </c>
      <c r="L33" s="211"/>
      <c r="M33" s="211"/>
      <c r="N33" s="211"/>
      <c r="O33" s="211"/>
      <c r="P33" s="211"/>
      <c r="Q33" s="211"/>
      <c r="R33" s="211"/>
      <c r="S33" s="198">
        <v>-1000</v>
      </c>
      <c r="T33" s="199">
        <v>0</v>
      </c>
      <c r="U33" s="210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198">
        <f t="shared" si="0"/>
        <v>0</v>
      </c>
      <c r="AZ33" s="200">
        <f t="shared" si="1"/>
        <v>0</v>
      </c>
    </row>
    <row r="34" spans="1:52" ht="12.75">
      <c r="A34" s="209" t="s">
        <v>142</v>
      </c>
      <c r="B34" s="195">
        <v>19000</v>
      </c>
      <c r="C34" s="210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198">
        <v>0</v>
      </c>
      <c r="T34" s="199">
        <v>19000</v>
      </c>
      <c r="U34" s="210">
        <v>19</v>
      </c>
      <c r="V34" s="211"/>
      <c r="W34" s="211"/>
      <c r="X34" s="211"/>
      <c r="Y34" s="211"/>
      <c r="Z34" s="211"/>
      <c r="AA34" s="211"/>
      <c r="AB34" s="211"/>
      <c r="AC34" s="211"/>
      <c r="AD34" s="211"/>
      <c r="AE34" s="211">
        <v>-19</v>
      </c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198">
        <f t="shared" si="0"/>
        <v>0</v>
      </c>
      <c r="AZ34" s="200">
        <f t="shared" si="1"/>
        <v>19000</v>
      </c>
    </row>
    <row r="35" spans="1:52" ht="12.75">
      <c r="A35" s="209" t="s">
        <v>143</v>
      </c>
      <c r="B35" s="195">
        <v>1755490</v>
      </c>
      <c r="C35" s="210"/>
      <c r="D35" s="211"/>
      <c r="E35" s="211">
        <v>-306</v>
      </c>
      <c r="F35" s="211"/>
      <c r="G35" s="211"/>
      <c r="H35" s="211">
        <v>-1000</v>
      </c>
      <c r="I35" s="211"/>
      <c r="J35" s="211"/>
      <c r="K35" s="211">
        <v>680</v>
      </c>
      <c r="L35" s="211"/>
      <c r="M35" s="211"/>
      <c r="N35" s="211"/>
      <c r="O35" s="211"/>
      <c r="P35" s="211"/>
      <c r="Q35" s="211"/>
      <c r="R35" s="211">
        <v>944</v>
      </c>
      <c r="S35" s="198">
        <v>318</v>
      </c>
      <c r="T35" s="199">
        <v>1755808</v>
      </c>
      <c r="U35" s="210">
        <v>13262</v>
      </c>
      <c r="V35" s="211"/>
      <c r="W35" s="211"/>
      <c r="X35" s="211">
        <v>-50104</v>
      </c>
      <c r="Y35" s="211"/>
      <c r="Z35" s="211"/>
      <c r="AA35" s="211"/>
      <c r="AB35" s="211">
        <v>1650</v>
      </c>
      <c r="AC35" s="211"/>
      <c r="AD35" s="211">
        <v>-6525</v>
      </c>
      <c r="AE35" s="211">
        <v>-22527</v>
      </c>
      <c r="AF35" s="211"/>
      <c r="AG35" s="211">
        <v>12000</v>
      </c>
      <c r="AH35" s="211">
        <v>5500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>
        <v>36931</v>
      </c>
      <c r="AT35" s="211"/>
      <c r="AU35" s="211"/>
      <c r="AV35" s="211"/>
      <c r="AW35" s="211">
        <v>25906</v>
      </c>
      <c r="AX35" s="211"/>
      <c r="AY35" s="198">
        <f t="shared" si="0"/>
        <v>16093</v>
      </c>
      <c r="AZ35" s="200">
        <f t="shared" si="1"/>
        <v>1771901</v>
      </c>
    </row>
    <row r="36" spans="1:52" ht="15">
      <c r="A36" s="212" t="s">
        <v>144</v>
      </c>
      <c r="B36" s="203"/>
      <c r="C36" s="213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06"/>
      <c r="T36" s="207"/>
      <c r="U36" s="213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06">
        <f t="shared" si="0"/>
        <v>0</v>
      </c>
      <c r="AZ36" s="208">
        <f t="shared" si="1"/>
        <v>0</v>
      </c>
    </row>
    <row r="37" spans="1:52" ht="12.75">
      <c r="A37" s="209" t="s">
        <v>145</v>
      </c>
      <c r="B37" s="195">
        <v>512963</v>
      </c>
      <c r="C37" s="210"/>
      <c r="D37" s="211"/>
      <c r="E37" s="211">
        <v>430</v>
      </c>
      <c r="F37" s="211"/>
      <c r="G37" s="211"/>
      <c r="H37" s="211"/>
      <c r="I37" s="211"/>
      <c r="J37" s="211"/>
      <c r="K37" s="211"/>
      <c r="L37" s="211">
        <v>-73848</v>
      </c>
      <c r="M37" s="211"/>
      <c r="N37" s="211"/>
      <c r="O37" s="211">
        <v>1483</v>
      </c>
      <c r="P37" s="211"/>
      <c r="Q37" s="211">
        <v>-3205</v>
      </c>
      <c r="R37" s="211"/>
      <c r="S37" s="198">
        <v>-75140</v>
      </c>
      <c r="T37" s="199">
        <v>437823</v>
      </c>
      <c r="U37" s="210">
        <v>6549</v>
      </c>
      <c r="V37" s="211"/>
      <c r="W37" s="211"/>
      <c r="X37" s="211"/>
      <c r="Y37" s="211"/>
      <c r="Z37" s="211"/>
      <c r="AA37" s="211"/>
      <c r="AB37" s="211"/>
      <c r="AC37" s="211">
        <v>682</v>
      </c>
      <c r="AD37" s="211"/>
      <c r="AE37" s="211"/>
      <c r="AF37" s="211"/>
      <c r="AG37" s="211">
        <v>5400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>
        <v>886</v>
      </c>
      <c r="AR37" s="211"/>
      <c r="AS37" s="211">
        <v>2912</v>
      </c>
      <c r="AT37" s="211">
        <v>79978</v>
      </c>
      <c r="AU37" s="211"/>
      <c r="AV37" s="211"/>
      <c r="AW37" s="211">
        <v>11618</v>
      </c>
      <c r="AX37" s="211"/>
      <c r="AY37" s="198">
        <f t="shared" si="0"/>
        <v>108025</v>
      </c>
      <c r="AZ37" s="200">
        <f t="shared" si="1"/>
        <v>545848</v>
      </c>
    </row>
    <row r="38" spans="1:52" ht="12.75">
      <c r="A38" s="209" t="s">
        <v>146</v>
      </c>
      <c r="B38" s="195">
        <v>173512</v>
      </c>
      <c r="C38" s="210"/>
      <c r="D38" s="211"/>
      <c r="E38" s="211">
        <v>151</v>
      </c>
      <c r="F38" s="211"/>
      <c r="G38" s="211"/>
      <c r="H38" s="211"/>
      <c r="I38" s="211"/>
      <c r="J38" s="211"/>
      <c r="K38" s="211"/>
      <c r="L38" s="211">
        <v>-25828</v>
      </c>
      <c r="M38" s="211"/>
      <c r="N38" s="211"/>
      <c r="O38" s="211">
        <v>519</v>
      </c>
      <c r="P38" s="211"/>
      <c r="Q38" s="211">
        <v>-1122</v>
      </c>
      <c r="R38" s="211"/>
      <c r="S38" s="198">
        <v>-26280</v>
      </c>
      <c r="T38" s="199">
        <v>147232</v>
      </c>
      <c r="U38" s="210">
        <v>2207</v>
      </c>
      <c r="V38" s="211"/>
      <c r="W38" s="211"/>
      <c r="X38" s="211"/>
      <c r="Y38" s="211"/>
      <c r="Z38" s="211"/>
      <c r="AA38" s="211"/>
      <c r="AB38" s="211"/>
      <c r="AC38" s="211">
        <v>252</v>
      </c>
      <c r="AD38" s="211">
        <v>-4126</v>
      </c>
      <c r="AE38" s="211"/>
      <c r="AF38" s="211"/>
      <c r="AG38" s="211">
        <v>1836</v>
      </c>
      <c r="AH38" s="211"/>
      <c r="AI38" s="211"/>
      <c r="AJ38" s="211"/>
      <c r="AK38" s="211"/>
      <c r="AL38" s="211"/>
      <c r="AM38" s="211"/>
      <c r="AN38" s="211"/>
      <c r="AO38" s="211"/>
      <c r="AP38" s="211"/>
      <c r="AQ38" s="211">
        <v>300</v>
      </c>
      <c r="AR38" s="211"/>
      <c r="AS38" s="211">
        <v>1019</v>
      </c>
      <c r="AT38" s="211">
        <v>27926</v>
      </c>
      <c r="AU38" s="211"/>
      <c r="AV38" s="211"/>
      <c r="AW38" s="211">
        <v>3951</v>
      </c>
      <c r="AX38" s="211"/>
      <c r="AY38" s="198">
        <f t="shared" si="0"/>
        <v>33365</v>
      </c>
      <c r="AZ38" s="200">
        <f t="shared" si="1"/>
        <v>180597</v>
      </c>
    </row>
    <row r="39" spans="1:52" ht="12.75">
      <c r="A39" s="209" t="s">
        <v>147</v>
      </c>
      <c r="B39" s="195">
        <v>9308</v>
      </c>
      <c r="C39" s="210"/>
      <c r="D39" s="211"/>
      <c r="E39" s="211">
        <v>9</v>
      </c>
      <c r="F39" s="211"/>
      <c r="G39" s="211"/>
      <c r="H39" s="211"/>
      <c r="I39" s="211"/>
      <c r="J39" s="211"/>
      <c r="K39" s="211"/>
      <c r="L39" s="211">
        <v>-1187</v>
      </c>
      <c r="M39" s="211"/>
      <c r="N39" s="211"/>
      <c r="O39" s="211">
        <v>30</v>
      </c>
      <c r="P39" s="211"/>
      <c r="Q39" s="211">
        <v>-64</v>
      </c>
      <c r="R39" s="211"/>
      <c r="S39" s="198">
        <v>-1212</v>
      </c>
      <c r="T39" s="199">
        <v>8096</v>
      </c>
      <c r="U39" s="210">
        <v>67</v>
      </c>
      <c r="V39" s="211"/>
      <c r="W39" s="211"/>
      <c r="X39" s="211"/>
      <c r="Y39" s="211"/>
      <c r="Z39" s="211"/>
      <c r="AA39" s="211"/>
      <c r="AB39" s="211"/>
      <c r="AC39" s="211">
        <v>8</v>
      </c>
      <c r="AD39" s="211"/>
      <c r="AE39" s="211"/>
      <c r="AF39" s="211"/>
      <c r="AG39" s="211">
        <v>108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>
        <v>14</v>
      </c>
      <c r="AR39" s="211"/>
      <c r="AS39" s="211">
        <v>58</v>
      </c>
      <c r="AT39" s="211">
        <v>1276</v>
      </c>
      <c r="AU39" s="211"/>
      <c r="AV39" s="211"/>
      <c r="AW39" s="211">
        <v>233</v>
      </c>
      <c r="AX39" s="211"/>
      <c r="AY39" s="198">
        <f t="shared" si="0"/>
        <v>1764</v>
      </c>
      <c r="AZ39" s="200">
        <f t="shared" si="1"/>
        <v>9860</v>
      </c>
    </row>
    <row r="40" spans="1:52" ht="12.75">
      <c r="A40" s="209" t="s">
        <v>148</v>
      </c>
      <c r="B40" s="195">
        <v>465388</v>
      </c>
      <c r="C40" s="210"/>
      <c r="D40" s="211"/>
      <c r="E40" s="211">
        <v>430</v>
      </c>
      <c r="F40" s="211"/>
      <c r="G40" s="211"/>
      <c r="H40" s="211"/>
      <c r="I40" s="211"/>
      <c r="J40" s="211"/>
      <c r="K40" s="211"/>
      <c r="L40" s="211">
        <v>-59285</v>
      </c>
      <c r="M40" s="211"/>
      <c r="N40" s="211"/>
      <c r="O40" s="211">
        <v>1483</v>
      </c>
      <c r="P40" s="211"/>
      <c r="Q40" s="211">
        <v>-3205</v>
      </c>
      <c r="R40" s="211"/>
      <c r="S40" s="198">
        <v>-60577</v>
      </c>
      <c r="T40" s="199">
        <v>404811</v>
      </c>
      <c r="U40" s="210">
        <v>6073</v>
      </c>
      <c r="V40" s="211"/>
      <c r="W40" s="211"/>
      <c r="X40" s="211"/>
      <c r="Y40" s="211"/>
      <c r="Z40" s="211"/>
      <c r="AA40" s="211"/>
      <c r="AB40" s="211"/>
      <c r="AC40" s="211">
        <v>435</v>
      </c>
      <c r="AD40" s="211"/>
      <c r="AE40" s="211"/>
      <c r="AF40" s="211"/>
      <c r="AG40" s="211">
        <v>5400</v>
      </c>
      <c r="AH40" s="211"/>
      <c r="AI40" s="211"/>
      <c r="AJ40" s="211"/>
      <c r="AK40" s="211"/>
      <c r="AL40" s="211"/>
      <c r="AM40" s="211"/>
      <c r="AN40" s="211"/>
      <c r="AO40" s="211"/>
      <c r="AP40" s="211"/>
      <c r="AQ40" s="211">
        <v>658</v>
      </c>
      <c r="AR40" s="211"/>
      <c r="AS40" s="211">
        <v>2912</v>
      </c>
      <c r="AT40" s="211">
        <v>63908</v>
      </c>
      <c r="AU40" s="211"/>
      <c r="AV40" s="211"/>
      <c r="AW40" s="211">
        <v>11618</v>
      </c>
      <c r="AX40" s="211"/>
      <c r="AY40" s="198">
        <f t="shared" si="0"/>
        <v>91004</v>
      </c>
      <c r="AZ40" s="200">
        <f t="shared" si="1"/>
        <v>495815</v>
      </c>
    </row>
    <row r="41" spans="1:52" ht="12.75">
      <c r="A41" s="209" t="s">
        <v>149</v>
      </c>
      <c r="B41" s="195">
        <v>9721141</v>
      </c>
      <c r="C41" s="210"/>
      <c r="D41" s="211"/>
      <c r="E41" s="211"/>
      <c r="F41" s="211"/>
      <c r="G41" s="211"/>
      <c r="H41" s="211"/>
      <c r="I41" s="211"/>
      <c r="J41" s="211"/>
      <c r="K41" s="211"/>
      <c r="L41" s="211">
        <v>-113369</v>
      </c>
      <c r="M41" s="211"/>
      <c r="N41" s="211"/>
      <c r="O41" s="211"/>
      <c r="P41" s="211"/>
      <c r="Q41" s="211"/>
      <c r="R41" s="211"/>
      <c r="S41" s="198">
        <v>-113369</v>
      </c>
      <c r="T41" s="199">
        <v>9607772</v>
      </c>
      <c r="U41" s="210">
        <v>414</v>
      </c>
      <c r="V41" s="211">
        <v>136193</v>
      </c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>
        <v>4715420</v>
      </c>
      <c r="AU41" s="211"/>
      <c r="AV41" s="211"/>
      <c r="AW41" s="211"/>
      <c r="AX41" s="211"/>
      <c r="AY41" s="198">
        <f t="shared" si="0"/>
        <v>4852027</v>
      </c>
      <c r="AZ41" s="200">
        <f t="shared" si="1"/>
        <v>14459799</v>
      </c>
    </row>
    <row r="42" spans="1:52" ht="12.75">
      <c r="A42" s="209" t="s">
        <v>150</v>
      </c>
      <c r="B42" s="195">
        <v>9607772</v>
      </c>
      <c r="C42" s="210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198">
        <v>0</v>
      </c>
      <c r="T42" s="199">
        <v>9607772</v>
      </c>
      <c r="U42" s="210">
        <v>414</v>
      </c>
      <c r="V42" s="211">
        <v>136193</v>
      </c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198">
        <f t="shared" si="0"/>
        <v>136607</v>
      </c>
      <c r="AZ42" s="200">
        <f t="shared" si="1"/>
        <v>9744379</v>
      </c>
    </row>
    <row r="43" spans="1:52" ht="12.75">
      <c r="A43" s="209" t="s">
        <v>151</v>
      </c>
      <c r="B43" s="195">
        <v>6843572</v>
      </c>
      <c r="C43" s="210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198">
        <v>0</v>
      </c>
      <c r="T43" s="199">
        <v>6843572</v>
      </c>
      <c r="U43" s="210">
        <v>257</v>
      </c>
      <c r="V43" s="211">
        <v>134331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198">
        <f t="shared" si="0"/>
        <v>134588</v>
      </c>
      <c r="AZ43" s="200">
        <f t="shared" si="1"/>
        <v>6978160</v>
      </c>
    </row>
    <row r="44" spans="1:52" ht="12.75">
      <c r="A44" s="209" t="s">
        <v>152</v>
      </c>
      <c r="B44" s="195">
        <v>2764200</v>
      </c>
      <c r="C44" s="210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198">
        <v>0</v>
      </c>
      <c r="T44" s="199">
        <v>2764200</v>
      </c>
      <c r="U44" s="210">
        <v>157</v>
      </c>
      <c r="V44" s="211">
        <v>1862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198">
        <f t="shared" si="0"/>
        <v>2019</v>
      </c>
      <c r="AZ44" s="200">
        <f t="shared" si="1"/>
        <v>2766219</v>
      </c>
    </row>
    <row r="45" spans="1:52" ht="12.75">
      <c r="A45" s="209" t="s">
        <v>153</v>
      </c>
      <c r="B45" s="195">
        <v>113369</v>
      </c>
      <c r="C45" s="210"/>
      <c r="D45" s="211"/>
      <c r="E45" s="211"/>
      <c r="F45" s="211"/>
      <c r="G45" s="211"/>
      <c r="H45" s="211"/>
      <c r="I45" s="211"/>
      <c r="J45" s="211"/>
      <c r="K45" s="211"/>
      <c r="L45" s="211">
        <v>-113369</v>
      </c>
      <c r="M45" s="211"/>
      <c r="N45" s="211"/>
      <c r="O45" s="211"/>
      <c r="P45" s="211"/>
      <c r="Q45" s="211"/>
      <c r="R45" s="211"/>
      <c r="S45" s="198">
        <v>-113369</v>
      </c>
      <c r="T45" s="199">
        <v>0</v>
      </c>
      <c r="U45" s="210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>
        <v>4715420</v>
      </c>
      <c r="AU45" s="211"/>
      <c r="AV45" s="211"/>
      <c r="AW45" s="211"/>
      <c r="AX45" s="211"/>
      <c r="AY45" s="198">
        <f t="shared" si="0"/>
        <v>4715420</v>
      </c>
      <c r="AZ45" s="200">
        <f t="shared" si="1"/>
        <v>4715420</v>
      </c>
    </row>
    <row r="46" spans="1:52" ht="12.75">
      <c r="A46" s="209" t="s">
        <v>154</v>
      </c>
      <c r="B46" s="195">
        <v>1823816</v>
      </c>
      <c r="C46" s="210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198">
        <v>0</v>
      </c>
      <c r="T46" s="199">
        <v>1823816</v>
      </c>
      <c r="U46" s="210">
        <v>90</v>
      </c>
      <c r="V46" s="211">
        <v>-353382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198">
        <f t="shared" si="0"/>
        <v>-353292</v>
      </c>
      <c r="AZ46" s="200">
        <f t="shared" si="1"/>
        <v>1470524</v>
      </c>
    </row>
    <row r="47" spans="1:52" ht="12.75">
      <c r="A47" s="209" t="s">
        <v>155</v>
      </c>
      <c r="B47" s="195">
        <v>925383</v>
      </c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198">
        <v>0</v>
      </c>
      <c r="T47" s="199">
        <v>925383</v>
      </c>
      <c r="U47" s="210"/>
      <c r="V47" s="211">
        <v>360312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198">
        <f t="shared" si="0"/>
        <v>360312</v>
      </c>
      <c r="AZ47" s="200">
        <f t="shared" si="1"/>
        <v>1285695</v>
      </c>
    </row>
    <row r="48" spans="1:52" ht="12.75">
      <c r="A48" s="209" t="s">
        <v>156</v>
      </c>
      <c r="B48" s="195">
        <v>5000</v>
      </c>
      <c r="C48" s="210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198">
        <v>0</v>
      </c>
      <c r="T48" s="199">
        <v>5000</v>
      </c>
      <c r="U48" s="210"/>
      <c r="V48" s="211">
        <v>-5000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198">
        <f t="shared" si="0"/>
        <v>-5000</v>
      </c>
      <c r="AZ48" s="200">
        <f t="shared" si="1"/>
        <v>0</v>
      </c>
    </row>
    <row r="49" spans="1:52" ht="12.75">
      <c r="A49" s="209" t="s">
        <v>157</v>
      </c>
      <c r="B49" s="195">
        <v>1044227</v>
      </c>
      <c r="C49" s="210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198">
        <v>0</v>
      </c>
      <c r="T49" s="199">
        <v>1044227</v>
      </c>
      <c r="U49" s="210"/>
      <c r="V49" s="211">
        <v>3129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198">
        <f t="shared" si="0"/>
        <v>3129</v>
      </c>
      <c r="AZ49" s="200">
        <f t="shared" si="1"/>
        <v>1047356</v>
      </c>
    </row>
    <row r="50" spans="1:52" ht="12.75">
      <c r="A50" s="209" t="s">
        <v>158</v>
      </c>
      <c r="B50" s="195">
        <v>2068206</v>
      </c>
      <c r="C50" s="210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198">
        <v>0</v>
      </c>
      <c r="T50" s="199">
        <v>2068206</v>
      </c>
      <c r="U50" s="210">
        <v>189</v>
      </c>
      <c r="V50" s="211">
        <v>-166422</v>
      </c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198">
        <f t="shared" si="0"/>
        <v>-166233</v>
      </c>
      <c r="AZ50" s="200">
        <f t="shared" si="1"/>
        <v>1901973</v>
      </c>
    </row>
    <row r="51" spans="1:52" ht="12.75">
      <c r="A51" s="209" t="s">
        <v>159</v>
      </c>
      <c r="B51" s="195"/>
      <c r="C51" s="210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198">
        <v>0</v>
      </c>
      <c r="T51" s="199">
        <v>0</v>
      </c>
      <c r="U51" s="210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>
        <v>153450</v>
      </c>
      <c r="AT51" s="211"/>
      <c r="AU51" s="211"/>
      <c r="AV51" s="211"/>
      <c r="AW51" s="211"/>
      <c r="AX51" s="211"/>
      <c r="AY51" s="198">
        <f t="shared" si="0"/>
        <v>153450</v>
      </c>
      <c r="AZ51" s="200">
        <f t="shared" si="1"/>
        <v>153450</v>
      </c>
    </row>
    <row r="52" spans="1:52" ht="12.75">
      <c r="A52" s="209" t="s">
        <v>160</v>
      </c>
      <c r="B52" s="195">
        <v>10202</v>
      </c>
      <c r="C52" s="210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198">
        <v>0</v>
      </c>
      <c r="T52" s="199">
        <v>10202</v>
      </c>
      <c r="U52" s="210">
        <v>51</v>
      </c>
      <c r="V52" s="211"/>
      <c r="W52" s="211"/>
      <c r="X52" s="211"/>
      <c r="Y52" s="211"/>
      <c r="Z52" s="211"/>
      <c r="AA52" s="211"/>
      <c r="AB52" s="211"/>
      <c r="AC52" s="211"/>
      <c r="AD52" s="211"/>
      <c r="AE52" s="211">
        <v>-51</v>
      </c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198">
        <f t="shared" si="0"/>
        <v>0</v>
      </c>
      <c r="AZ52" s="200">
        <f t="shared" si="1"/>
        <v>10202</v>
      </c>
    </row>
    <row r="53" spans="1:52" ht="12.75">
      <c r="A53" s="209" t="s">
        <v>161</v>
      </c>
      <c r="B53" s="195">
        <v>12702</v>
      </c>
      <c r="C53" s="210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198">
        <v>0</v>
      </c>
      <c r="T53" s="199">
        <v>12702</v>
      </c>
      <c r="U53" s="210">
        <v>51</v>
      </c>
      <c r="V53" s="211"/>
      <c r="W53" s="211"/>
      <c r="X53" s="211"/>
      <c r="Y53" s="211"/>
      <c r="Z53" s="211"/>
      <c r="AA53" s="211"/>
      <c r="AB53" s="211"/>
      <c r="AC53" s="211"/>
      <c r="AD53" s="211"/>
      <c r="AE53" s="211">
        <v>-51</v>
      </c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198">
        <f t="shared" si="0"/>
        <v>0</v>
      </c>
      <c r="AZ53" s="200">
        <f t="shared" si="1"/>
        <v>12702</v>
      </c>
    </row>
    <row r="54" spans="1:52" ht="12.75">
      <c r="A54" s="209" t="s">
        <v>162</v>
      </c>
      <c r="B54" s="195">
        <v>25000</v>
      </c>
      <c r="C54" s="210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198">
        <v>0</v>
      </c>
      <c r="T54" s="199">
        <v>25000</v>
      </c>
      <c r="U54" s="210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198">
        <f t="shared" si="0"/>
        <v>0</v>
      </c>
      <c r="AZ54" s="200">
        <f t="shared" si="1"/>
        <v>25000</v>
      </c>
    </row>
    <row r="55" spans="1:52" ht="12.75">
      <c r="A55" s="209" t="s">
        <v>163</v>
      </c>
      <c r="B55" s="195">
        <v>400</v>
      </c>
      <c r="C55" s="210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198">
        <v>0</v>
      </c>
      <c r="T55" s="199">
        <v>400</v>
      </c>
      <c r="U55" s="210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198">
        <f t="shared" si="0"/>
        <v>0</v>
      </c>
      <c r="AZ55" s="200">
        <f t="shared" si="1"/>
        <v>400</v>
      </c>
    </row>
    <row r="56" spans="1:52" ht="12.75">
      <c r="A56" s="209" t="s">
        <v>288</v>
      </c>
      <c r="B56" s="195">
        <v>469056</v>
      </c>
      <c r="C56" s="210"/>
      <c r="D56" s="211"/>
      <c r="E56" s="211"/>
      <c r="F56" s="211"/>
      <c r="G56" s="211"/>
      <c r="H56" s="211"/>
      <c r="I56" s="211">
        <v>-469056</v>
      </c>
      <c r="J56" s="211"/>
      <c r="K56" s="211"/>
      <c r="L56" s="211"/>
      <c r="M56" s="211"/>
      <c r="N56" s="211"/>
      <c r="O56" s="211"/>
      <c r="P56" s="211"/>
      <c r="Q56" s="211"/>
      <c r="R56" s="211"/>
      <c r="S56" s="198">
        <v>-469056</v>
      </c>
      <c r="T56" s="199">
        <v>0</v>
      </c>
      <c r="U56" s="210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198">
        <f t="shared" si="0"/>
        <v>0</v>
      </c>
      <c r="AZ56" s="200">
        <f t="shared" si="1"/>
        <v>0</v>
      </c>
    </row>
    <row r="57" spans="1:52" ht="12.75">
      <c r="A57" s="209" t="s">
        <v>164</v>
      </c>
      <c r="B57" s="195">
        <v>123814</v>
      </c>
      <c r="C57" s="210"/>
      <c r="D57" s="211"/>
      <c r="E57" s="211"/>
      <c r="F57" s="211"/>
      <c r="G57" s="211"/>
      <c r="H57" s="211"/>
      <c r="I57" s="211">
        <v>-123814</v>
      </c>
      <c r="J57" s="211"/>
      <c r="K57" s="211"/>
      <c r="L57" s="211"/>
      <c r="M57" s="211"/>
      <c r="N57" s="211"/>
      <c r="O57" s="211"/>
      <c r="P57" s="211"/>
      <c r="Q57" s="211"/>
      <c r="R57" s="211"/>
      <c r="S57" s="198">
        <v>-123814</v>
      </c>
      <c r="T57" s="199">
        <v>0</v>
      </c>
      <c r="U57" s="210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198">
        <f t="shared" si="0"/>
        <v>0</v>
      </c>
      <c r="AZ57" s="200">
        <f t="shared" si="1"/>
        <v>0</v>
      </c>
    </row>
    <row r="58" spans="1:52" ht="12.75">
      <c r="A58" s="209" t="s">
        <v>165</v>
      </c>
      <c r="B58" s="195">
        <v>345242</v>
      </c>
      <c r="C58" s="210"/>
      <c r="D58" s="211"/>
      <c r="E58" s="211"/>
      <c r="F58" s="211"/>
      <c r="G58" s="211"/>
      <c r="H58" s="211"/>
      <c r="I58" s="211">
        <v>-345242</v>
      </c>
      <c r="J58" s="211"/>
      <c r="K58" s="211"/>
      <c r="L58" s="211"/>
      <c r="M58" s="211"/>
      <c r="N58" s="211"/>
      <c r="O58" s="211"/>
      <c r="P58" s="211"/>
      <c r="Q58" s="211"/>
      <c r="R58" s="211"/>
      <c r="S58" s="198">
        <v>-345242</v>
      </c>
      <c r="T58" s="199">
        <v>0</v>
      </c>
      <c r="U58" s="210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198">
        <f t="shared" si="0"/>
        <v>0</v>
      </c>
      <c r="AZ58" s="200">
        <f t="shared" si="1"/>
        <v>0</v>
      </c>
    </row>
    <row r="59" spans="1:52" ht="12.75">
      <c r="A59" s="209" t="s">
        <v>289</v>
      </c>
      <c r="B59" s="195">
        <v>2336499</v>
      </c>
      <c r="C59" s="210"/>
      <c r="D59" s="211"/>
      <c r="E59" s="211"/>
      <c r="F59" s="211"/>
      <c r="G59" s="211"/>
      <c r="H59" s="211"/>
      <c r="I59" s="211">
        <v>469056</v>
      </c>
      <c r="J59" s="211"/>
      <c r="K59" s="211"/>
      <c r="L59" s="211">
        <v>-545242</v>
      </c>
      <c r="M59" s="211"/>
      <c r="N59" s="211"/>
      <c r="O59" s="211"/>
      <c r="P59" s="211">
        <v>27000</v>
      </c>
      <c r="Q59" s="211"/>
      <c r="R59" s="211"/>
      <c r="S59" s="198">
        <v>-49186</v>
      </c>
      <c r="T59" s="199">
        <v>2287313</v>
      </c>
      <c r="U59" s="210">
        <v>2773</v>
      </c>
      <c r="V59" s="211">
        <v>-545784</v>
      </c>
      <c r="W59" s="211"/>
      <c r="X59" s="211"/>
      <c r="Y59" s="211"/>
      <c r="Z59" s="211"/>
      <c r="AA59" s="211">
        <v>124400</v>
      </c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>
        <v>10436311</v>
      </c>
      <c r="AU59" s="211"/>
      <c r="AV59" s="211"/>
      <c r="AW59" s="211"/>
      <c r="AX59" s="211"/>
      <c r="AY59" s="198">
        <f t="shared" si="0"/>
        <v>10017700</v>
      </c>
      <c r="AZ59" s="200">
        <f t="shared" si="1"/>
        <v>12305013</v>
      </c>
    </row>
    <row r="60" spans="1:52" ht="12.75">
      <c r="A60" s="209" t="s">
        <v>166</v>
      </c>
      <c r="B60" s="195">
        <v>925771</v>
      </c>
      <c r="C60" s="210"/>
      <c r="D60" s="211"/>
      <c r="E60" s="211"/>
      <c r="F60" s="211"/>
      <c r="G60" s="211"/>
      <c r="H60" s="211"/>
      <c r="I60" s="211">
        <v>123814</v>
      </c>
      <c r="J60" s="211"/>
      <c r="K60" s="211"/>
      <c r="L60" s="211"/>
      <c r="M60" s="211"/>
      <c r="N60" s="211"/>
      <c r="O60" s="211"/>
      <c r="P60" s="211"/>
      <c r="Q60" s="211"/>
      <c r="R60" s="211"/>
      <c r="S60" s="198">
        <v>123814</v>
      </c>
      <c r="T60" s="199">
        <v>1049585</v>
      </c>
      <c r="U60" s="210">
        <v>2584</v>
      </c>
      <c r="V60" s="211"/>
      <c r="W60" s="211"/>
      <c r="X60" s="211"/>
      <c r="Y60" s="211"/>
      <c r="Z60" s="211"/>
      <c r="AA60" s="211">
        <v>124400</v>
      </c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>
        <v>-1200</v>
      </c>
      <c r="AR60" s="211"/>
      <c r="AS60" s="211"/>
      <c r="AT60" s="211"/>
      <c r="AU60" s="211"/>
      <c r="AV60" s="211"/>
      <c r="AW60" s="211"/>
      <c r="AX60" s="211"/>
      <c r="AY60" s="198">
        <f t="shared" si="0"/>
        <v>125784</v>
      </c>
      <c r="AZ60" s="200">
        <f t="shared" si="1"/>
        <v>1175369</v>
      </c>
    </row>
    <row r="61" spans="1:52" ht="12.75">
      <c r="A61" s="209" t="s">
        <v>167</v>
      </c>
      <c r="B61" s="195">
        <v>86631</v>
      </c>
      <c r="C61" s="210"/>
      <c r="D61" s="211"/>
      <c r="E61" s="211"/>
      <c r="F61" s="211"/>
      <c r="G61" s="211"/>
      <c r="H61" s="211"/>
      <c r="I61" s="211">
        <v>345242</v>
      </c>
      <c r="J61" s="211"/>
      <c r="K61" s="211"/>
      <c r="L61" s="211">
        <v>-431873</v>
      </c>
      <c r="M61" s="211"/>
      <c r="N61" s="211"/>
      <c r="O61" s="211"/>
      <c r="P61" s="211"/>
      <c r="Q61" s="211"/>
      <c r="R61" s="211"/>
      <c r="S61" s="198">
        <v>-86631</v>
      </c>
      <c r="T61" s="199">
        <v>0</v>
      </c>
      <c r="U61" s="210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>
        <v>6660424</v>
      </c>
      <c r="AU61" s="211"/>
      <c r="AV61" s="211"/>
      <c r="AW61" s="211"/>
      <c r="AX61" s="211"/>
      <c r="AY61" s="198">
        <f t="shared" si="0"/>
        <v>6660424</v>
      </c>
      <c r="AZ61" s="200">
        <f t="shared" si="1"/>
        <v>6660424</v>
      </c>
    </row>
    <row r="62" spans="1:52" ht="12.75">
      <c r="A62" s="209" t="s">
        <v>168</v>
      </c>
      <c r="B62" s="195">
        <v>1210728</v>
      </c>
      <c r="C62" s="210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198">
        <v>0</v>
      </c>
      <c r="T62" s="199">
        <v>1210728</v>
      </c>
      <c r="U62" s="210">
        <v>189</v>
      </c>
      <c r="V62" s="211">
        <v>-545784</v>
      </c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198">
        <f t="shared" si="0"/>
        <v>-545595</v>
      </c>
      <c r="AZ62" s="200">
        <f t="shared" si="1"/>
        <v>665133</v>
      </c>
    </row>
    <row r="63" spans="1:52" ht="12.75">
      <c r="A63" s="209" t="s">
        <v>169</v>
      </c>
      <c r="B63" s="195">
        <v>113369</v>
      </c>
      <c r="C63" s="210"/>
      <c r="D63" s="211"/>
      <c r="E63" s="211"/>
      <c r="F63" s="211"/>
      <c r="G63" s="211"/>
      <c r="H63" s="211"/>
      <c r="I63" s="211"/>
      <c r="J63" s="211"/>
      <c r="K63" s="211"/>
      <c r="L63" s="211">
        <v>-113369</v>
      </c>
      <c r="M63" s="211"/>
      <c r="N63" s="211"/>
      <c r="O63" s="211"/>
      <c r="P63" s="211"/>
      <c r="Q63" s="211"/>
      <c r="R63" s="211"/>
      <c r="S63" s="198">
        <v>-113369</v>
      </c>
      <c r="T63" s="199">
        <v>0</v>
      </c>
      <c r="U63" s="210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>
        <v>3769087</v>
      </c>
      <c r="AU63" s="211"/>
      <c r="AV63" s="211"/>
      <c r="AW63" s="211"/>
      <c r="AX63" s="211"/>
      <c r="AY63" s="198">
        <f t="shared" si="0"/>
        <v>3769087</v>
      </c>
      <c r="AZ63" s="200">
        <f t="shared" si="1"/>
        <v>3769087</v>
      </c>
    </row>
    <row r="64" spans="1:52" ht="12.75">
      <c r="A64" s="209" t="s">
        <v>170</v>
      </c>
      <c r="B64" s="195"/>
      <c r="C64" s="210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198">
        <v>0</v>
      </c>
      <c r="T64" s="199">
        <v>0</v>
      </c>
      <c r="U64" s="210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>
        <v>1200</v>
      </c>
      <c r="AR64" s="211"/>
      <c r="AS64" s="211"/>
      <c r="AT64" s="211"/>
      <c r="AU64" s="211"/>
      <c r="AV64" s="211"/>
      <c r="AW64" s="211"/>
      <c r="AX64" s="211"/>
      <c r="AY64" s="198">
        <f t="shared" si="0"/>
        <v>1200</v>
      </c>
      <c r="AZ64" s="200">
        <f t="shared" si="1"/>
        <v>1200</v>
      </c>
    </row>
    <row r="65" spans="1:52" ht="12.75">
      <c r="A65" s="209" t="s">
        <v>171</v>
      </c>
      <c r="B65" s="195"/>
      <c r="C65" s="210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198">
        <v>0</v>
      </c>
      <c r="T65" s="199">
        <v>0</v>
      </c>
      <c r="U65" s="210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>
        <v>6800</v>
      </c>
      <c r="AU65" s="211"/>
      <c r="AV65" s="211"/>
      <c r="AW65" s="211"/>
      <c r="AX65" s="211"/>
      <c r="AY65" s="198">
        <f t="shared" si="0"/>
        <v>6800</v>
      </c>
      <c r="AZ65" s="200">
        <f t="shared" si="1"/>
        <v>6800</v>
      </c>
    </row>
    <row r="66" spans="1:52" ht="12.75">
      <c r="A66" s="209" t="s">
        <v>172</v>
      </c>
      <c r="B66" s="195"/>
      <c r="C66" s="210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>
        <v>27000</v>
      </c>
      <c r="Q66" s="211"/>
      <c r="R66" s="211"/>
      <c r="S66" s="198">
        <v>27000</v>
      </c>
      <c r="T66" s="199">
        <v>27000</v>
      </c>
      <c r="U66" s="210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198">
        <f t="shared" si="0"/>
        <v>0</v>
      </c>
      <c r="AZ66" s="200">
        <f t="shared" si="1"/>
        <v>27000</v>
      </c>
    </row>
    <row r="67" spans="1:52" ht="12.75">
      <c r="A67" s="209" t="s">
        <v>173</v>
      </c>
      <c r="B67" s="195"/>
      <c r="C67" s="210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198">
        <v>0</v>
      </c>
      <c r="T67" s="199">
        <v>0</v>
      </c>
      <c r="U67" s="210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198">
        <f t="shared" si="0"/>
        <v>0</v>
      </c>
      <c r="AZ67" s="200">
        <f t="shared" si="1"/>
        <v>0</v>
      </c>
    </row>
    <row r="68" spans="1:52" ht="12.75">
      <c r="A68" s="209" t="s">
        <v>228</v>
      </c>
      <c r="B68" s="195">
        <v>51790</v>
      </c>
      <c r="C68" s="210"/>
      <c r="D68" s="211"/>
      <c r="E68" s="211"/>
      <c r="F68" s="211"/>
      <c r="G68" s="211"/>
      <c r="H68" s="211"/>
      <c r="I68" s="211"/>
      <c r="J68" s="211"/>
      <c r="K68" s="211"/>
      <c r="L68" s="211">
        <v>-44131</v>
      </c>
      <c r="M68" s="211"/>
      <c r="N68" s="211"/>
      <c r="O68" s="211"/>
      <c r="P68" s="211"/>
      <c r="Q68" s="211"/>
      <c r="R68" s="211"/>
      <c r="S68" s="198">
        <v>-44131</v>
      </c>
      <c r="T68" s="199">
        <v>7659</v>
      </c>
      <c r="U68" s="210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>
        <v>-5500</v>
      </c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>
        <v>19431</v>
      </c>
      <c r="AU68" s="211"/>
      <c r="AV68" s="211"/>
      <c r="AW68" s="211"/>
      <c r="AX68" s="211"/>
      <c r="AY68" s="198">
        <f t="shared" si="0"/>
        <v>13931</v>
      </c>
      <c r="AZ68" s="200">
        <f t="shared" si="1"/>
        <v>21590</v>
      </c>
    </row>
    <row r="69" spans="1:52" ht="12.75">
      <c r="A69" s="209" t="s">
        <v>174</v>
      </c>
      <c r="B69" s="195">
        <v>7659</v>
      </c>
      <c r="C69" s="210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198">
        <v>0</v>
      </c>
      <c r="T69" s="199">
        <v>7659</v>
      </c>
      <c r="U69" s="210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>
        <v>-5500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198">
        <f t="shared" si="0"/>
        <v>-5500</v>
      </c>
      <c r="AZ69" s="200">
        <f t="shared" si="1"/>
        <v>2159</v>
      </c>
    </row>
    <row r="70" spans="1:52" ht="12.75">
      <c r="A70" s="209" t="s">
        <v>290</v>
      </c>
      <c r="B70" s="195">
        <v>44131</v>
      </c>
      <c r="C70" s="210"/>
      <c r="D70" s="211"/>
      <c r="E70" s="211"/>
      <c r="F70" s="211"/>
      <c r="G70" s="211"/>
      <c r="H70" s="211"/>
      <c r="I70" s="211"/>
      <c r="J70" s="211"/>
      <c r="K70" s="211"/>
      <c r="L70" s="211">
        <v>-44131</v>
      </c>
      <c r="M70" s="211"/>
      <c r="N70" s="211"/>
      <c r="O70" s="211"/>
      <c r="P70" s="211"/>
      <c r="Q70" s="211"/>
      <c r="R70" s="211"/>
      <c r="S70" s="198">
        <v>-44131</v>
      </c>
      <c r="T70" s="199">
        <v>0</v>
      </c>
      <c r="U70" s="210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>
        <v>19431</v>
      </c>
      <c r="AU70" s="211"/>
      <c r="AV70" s="211"/>
      <c r="AW70" s="211"/>
      <c r="AX70" s="211"/>
      <c r="AY70" s="198">
        <f t="shared" si="0"/>
        <v>19431</v>
      </c>
      <c r="AZ70" s="200">
        <f t="shared" si="1"/>
        <v>19431</v>
      </c>
    </row>
    <row r="71" spans="1:52" ht="12.75">
      <c r="A71" s="209" t="s">
        <v>231</v>
      </c>
      <c r="B71" s="195">
        <v>4839121</v>
      </c>
      <c r="C71" s="210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198">
        <v>0</v>
      </c>
      <c r="T71" s="199">
        <v>4839121</v>
      </c>
      <c r="U71" s="210"/>
      <c r="V71" s="211"/>
      <c r="W71" s="211"/>
      <c r="X71" s="211">
        <v>-30004</v>
      </c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>
        <v>-13000</v>
      </c>
      <c r="AM71" s="211"/>
      <c r="AN71" s="211"/>
      <c r="AO71" s="211"/>
      <c r="AP71" s="211"/>
      <c r="AQ71" s="211"/>
      <c r="AR71" s="211">
        <v>-800000</v>
      </c>
      <c r="AS71" s="211"/>
      <c r="AT71" s="211"/>
      <c r="AU71" s="211"/>
      <c r="AV71" s="211"/>
      <c r="AW71" s="211"/>
      <c r="AX71" s="211"/>
      <c r="AY71" s="198">
        <f t="shared" si="0"/>
        <v>-843004</v>
      </c>
      <c r="AZ71" s="200">
        <f t="shared" si="1"/>
        <v>3996117</v>
      </c>
    </row>
  </sheetData>
  <sheetProtection/>
  <mergeCells count="1">
    <mergeCell ref="A1:L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60" r:id="rId1"/>
  <headerFooter alignWithMargins="0">
    <oddHeader>&amp;R&amp;"Arial,Kurzíva"Kapitola A.
&amp;"Arial,Tučné"Tabulka č.3a/str.&amp;P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zoomScale="80" zoomScaleNormal="80" workbookViewId="0" topLeftCell="A1">
      <selection activeCell="A46" sqref="A46"/>
    </sheetView>
  </sheetViews>
  <sheetFormatPr defaultColWidth="9.140625" defaultRowHeight="12.75"/>
  <cols>
    <col min="1" max="1" width="50.00390625" style="216" customWidth="1"/>
    <col min="2" max="2" width="13.28125" style="0" hidden="1" customWidth="1"/>
    <col min="3" max="3" width="10.421875" style="0" hidden="1" customWidth="1"/>
    <col min="4" max="4" width="13.7109375" style="0" hidden="1" customWidth="1"/>
    <col min="5" max="5" width="10.421875" style="0" hidden="1" customWidth="1"/>
    <col min="6" max="9" width="9.140625" style="0" hidden="1" customWidth="1"/>
    <col min="10" max="10" width="7.00390625" style="0" hidden="1" customWidth="1"/>
    <col min="11" max="12" width="9.140625" style="0" hidden="1" customWidth="1"/>
    <col min="13" max="13" width="0.13671875" style="0" hidden="1" customWidth="1"/>
    <col min="14" max="16" width="9.140625" style="0" hidden="1" customWidth="1"/>
    <col min="17" max="17" width="0.2890625" style="0" hidden="1" customWidth="1"/>
    <col min="18" max="18" width="0.13671875" style="0" hidden="1" customWidth="1"/>
    <col min="19" max="19" width="16.140625" style="0" customWidth="1"/>
    <col min="20" max="20" width="12.7109375" style="0" customWidth="1"/>
    <col min="21" max="21" width="15.28125" style="0" customWidth="1"/>
    <col min="22" max="22" width="11.421875" style="0" customWidth="1"/>
    <col min="23" max="23" width="9.8515625" style="0" customWidth="1"/>
    <col min="24" max="24" width="13.8515625" style="0" hidden="1" customWidth="1"/>
    <col min="25" max="25" width="10.8515625" style="0" hidden="1" customWidth="1"/>
    <col min="26" max="26" width="13.57421875" style="0" hidden="1" customWidth="1"/>
    <col min="27" max="27" width="11.28125" style="0" hidden="1" customWidth="1"/>
    <col min="28" max="28" width="9.7109375" style="0" hidden="1" customWidth="1"/>
    <col min="29" max="29" width="11.421875" style="0" hidden="1" customWidth="1"/>
    <col min="30" max="30" width="11.28125" style="0" hidden="1" customWidth="1"/>
    <col min="31" max="31" width="11.00390625" style="0" hidden="1" customWidth="1"/>
    <col min="32" max="32" width="10.7109375" style="0" hidden="1" customWidth="1"/>
    <col min="33" max="33" width="0" style="0" hidden="1" customWidth="1"/>
    <col min="34" max="35" width="10.140625" style="0" bestFit="1" customWidth="1"/>
  </cols>
  <sheetData>
    <row r="1" spans="1:23" ht="18">
      <c r="A1" s="217" t="s">
        <v>297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W1" s="219"/>
    </row>
    <row r="2" spans="1:23" ht="18.75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W2" s="221"/>
    </row>
    <row r="3" spans="1:23" ht="16.5" thickBot="1">
      <c r="A3" s="222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3"/>
      <c r="R3" s="218"/>
      <c r="S3" s="218"/>
      <c r="T3" s="218"/>
      <c r="U3" s="218"/>
      <c r="V3" s="218"/>
      <c r="W3" s="218"/>
    </row>
    <row r="4" spans="1:23" s="227" customFormat="1" ht="13.5" thickTop="1">
      <c r="A4" s="224"/>
      <c r="B4" s="437" t="s">
        <v>298</v>
      </c>
      <c r="C4" s="437"/>
      <c r="D4" s="437"/>
      <c r="E4" s="437"/>
      <c r="F4" s="438"/>
      <c r="G4" s="225" t="s">
        <v>299</v>
      </c>
      <c r="H4" s="225"/>
      <c r="I4" s="225"/>
      <c r="J4" s="226"/>
      <c r="K4" s="225" t="s">
        <v>299</v>
      </c>
      <c r="L4" s="225"/>
      <c r="M4" s="225"/>
      <c r="N4" s="226"/>
      <c r="O4" s="439" t="s">
        <v>300</v>
      </c>
      <c r="P4" s="437"/>
      <c r="Q4" s="437"/>
      <c r="R4" s="437"/>
      <c r="S4" s="440" t="s">
        <v>301</v>
      </c>
      <c r="T4" s="441"/>
      <c r="U4" s="441"/>
      <c r="V4" s="441"/>
      <c r="W4" s="442"/>
    </row>
    <row r="5" spans="1:23" s="227" customFormat="1" ht="13.5" thickBot="1">
      <c r="A5" s="228"/>
      <c r="B5" s="443" t="s">
        <v>302</v>
      </c>
      <c r="C5" s="443"/>
      <c r="D5" s="443"/>
      <c r="E5" s="443"/>
      <c r="F5" s="444"/>
      <c r="G5" s="229" t="s">
        <v>303</v>
      </c>
      <c r="H5" s="229"/>
      <c r="I5" s="229"/>
      <c r="J5" s="230"/>
      <c r="K5" s="231" t="s">
        <v>304</v>
      </c>
      <c r="L5" s="229"/>
      <c r="M5" s="229"/>
      <c r="N5" s="230"/>
      <c r="O5" s="445" t="s">
        <v>305</v>
      </c>
      <c r="P5" s="443"/>
      <c r="Q5" s="443"/>
      <c r="R5" s="443"/>
      <c r="S5" s="446"/>
      <c r="T5" s="443"/>
      <c r="U5" s="443"/>
      <c r="V5" s="443"/>
      <c r="W5" s="447"/>
    </row>
    <row r="6" spans="1:23" s="227" customFormat="1" ht="12.75">
      <c r="A6" s="232"/>
      <c r="B6" s="233" t="s">
        <v>306</v>
      </c>
      <c r="C6" s="234" t="s">
        <v>307</v>
      </c>
      <c r="D6" s="235"/>
      <c r="E6" s="236" t="s">
        <v>308</v>
      </c>
      <c r="F6" s="237" t="s">
        <v>309</v>
      </c>
      <c r="G6" s="238" t="s">
        <v>310</v>
      </c>
      <c r="H6" s="239" t="s">
        <v>307</v>
      </c>
      <c r="I6" s="240"/>
      <c r="J6" s="241" t="s">
        <v>308</v>
      </c>
      <c r="K6" s="238" t="s">
        <v>310</v>
      </c>
      <c r="L6" s="239" t="s">
        <v>307</v>
      </c>
      <c r="M6" s="240"/>
      <c r="N6" s="241" t="s">
        <v>308</v>
      </c>
      <c r="O6" s="238" t="s">
        <v>310</v>
      </c>
      <c r="P6" s="239" t="s">
        <v>307</v>
      </c>
      <c r="Q6" s="240"/>
      <c r="R6" s="242" t="s">
        <v>308</v>
      </c>
      <c r="S6" s="243" t="s">
        <v>310</v>
      </c>
      <c r="T6" s="234" t="s">
        <v>311</v>
      </c>
      <c r="U6" s="235"/>
      <c r="V6" s="244" t="s">
        <v>308</v>
      </c>
      <c r="W6" s="245" t="s">
        <v>309</v>
      </c>
    </row>
    <row r="7" spans="1:23" s="227" customFormat="1" ht="12.75">
      <c r="A7" s="246" t="s">
        <v>312</v>
      </c>
      <c r="B7" s="233" t="s">
        <v>313</v>
      </c>
      <c r="C7" s="233" t="s">
        <v>314</v>
      </c>
      <c r="D7" s="233" t="s">
        <v>315</v>
      </c>
      <c r="E7" s="233" t="s">
        <v>316</v>
      </c>
      <c r="F7" s="237" t="s">
        <v>317</v>
      </c>
      <c r="G7" s="238" t="s">
        <v>313</v>
      </c>
      <c r="H7" s="233" t="s">
        <v>314</v>
      </c>
      <c r="I7" s="233" t="s">
        <v>315</v>
      </c>
      <c r="J7" s="247" t="s">
        <v>316</v>
      </c>
      <c r="K7" s="238" t="s">
        <v>313</v>
      </c>
      <c r="L7" s="233" t="s">
        <v>314</v>
      </c>
      <c r="M7" s="233" t="s">
        <v>315</v>
      </c>
      <c r="N7" s="247" t="s">
        <v>316</v>
      </c>
      <c r="O7" s="238" t="s">
        <v>313</v>
      </c>
      <c r="P7" s="233" t="s">
        <v>314</v>
      </c>
      <c r="Q7" s="233" t="s">
        <v>315</v>
      </c>
      <c r="R7" s="248" t="s">
        <v>316</v>
      </c>
      <c r="S7" s="249" t="s">
        <v>313</v>
      </c>
      <c r="T7" s="233" t="s">
        <v>314</v>
      </c>
      <c r="U7" s="233" t="s">
        <v>315</v>
      </c>
      <c r="V7" s="233" t="s">
        <v>316</v>
      </c>
      <c r="W7" s="241" t="s">
        <v>317</v>
      </c>
    </row>
    <row r="8" spans="1:23" s="227" customFormat="1" ht="13.5" thickBot="1">
      <c r="A8" s="232"/>
      <c r="B8" s="250" t="s">
        <v>318</v>
      </c>
      <c r="C8" s="250" t="s">
        <v>319</v>
      </c>
      <c r="D8" s="250" t="s">
        <v>320</v>
      </c>
      <c r="E8" s="250" t="s">
        <v>321</v>
      </c>
      <c r="F8" s="251" t="s">
        <v>322</v>
      </c>
      <c r="G8" s="252" t="s">
        <v>318</v>
      </c>
      <c r="H8" s="250" t="s">
        <v>319</v>
      </c>
      <c r="I8" s="250" t="s">
        <v>320</v>
      </c>
      <c r="J8" s="253" t="s">
        <v>321</v>
      </c>
      <c r="K8" s="252" t="s">
        <v>318</v>
      </c>
      <c r="L8" s="250" t="s">
        <v>319</v>
      </c>
      <c r="M8" s="250" t="s">
        <v>320</v>
      </c>
      <c r="N8" s="253" t="s">
        <v>321</v>
      </c>
      <c r="O8" s="252" t="s">
        <v>318</v>
      </c>
      <c r="P8" s="250" t="s">
        <v>319</v>
      </c>
      <c r="Q8" s="250" t="s">
        <v>320</v>
      </c>
      <c r="R8" s="254" t="s">
        <v>321</v>
      </c>
      <c r="S8" s="255" t="s">
        <v>323</v>
      </c>
      <c r="T8" s="256" t="s">
        <v>324</v>
      </c>
      <c r="U8" s="256" t="s">
        <v>325</v>
      </c>
      <c r="V8" s="256" t="s">
        <v>321</v>
      </c>
      <c r="W8" s="257" t="s">
        <v>326</v>
      </c>
    </row>
    <row r="9" spans="1:23" ht="13.5" thickTop="1">
      <c r="A9" s="258"/>
      <c r="B9" s="259"/>
      <c r="C9" s="259"/>
      <c r="D9" s="259"/>
      <c r="E9" s="259"/>
      <c r="F9" s="260"/>
      <c r="G9" s="261"/>
      <c r="H9" s="261"/>
      <c r="I9" s="261"/>
      <c r="J9" s="260"/>
      <c r="K9" s="261"/>
      <c r="L9" s="261"/>
      <c r="M9" s="261"/>
      <c r="N9" s="260"/>
      <c r="O9" s="261"/>
      <c r="P9" s="261"/>
      <c r="Q9" s="261"/>
      <c r="R9" s="262"/>
      <c r="S9" s="263"/>
      <c r="T9" s="259"/>
      <c r="U9" s="259"/>
      <c r="V9" s="259"/>
      <c r="W9" s="264"/>
    </row>
    <row r="10" spans="1:23" ht="12.75">
      <c r="A10" s="265" t="s">
        <v>327</v>
      </c>
      <c r="B10" s="266"/>
      <c r="C10" s="267"/>
      <c r="D10" s="267"/>
      <c r="E10" s="267"/>
      <c r="F10" s="268"/>
      <c r="G10" s="269"/>
      <c r="H10" s="269"/>
      <c r="I10" s="269"/>
      <c r="J10" s="270"/>
      <c r="K10" s="269"/>
      <c r="L10" s="269"/>
      <c r="M10" s="269"/>
      <c r="N10" s="270"/>
      <c r="O10" s="269"/>
      <c r="P10" s="269"/>
      <c r="Q10" s="269"/>
      <c r="R10" s="271"/>
      <c r="S10" s="272"/>
      <c r="T10" s="273"/>
      <c r="U10" s="273"/>
      <c r="V10" s="273"/>
      <c r="W10" s="274"/>
    </row>
    <row r="11" spans="1:23" ht="12.75">
      <c r="A11" s="275" t="s">
        <v>328</v>
      </c>
      <c r="B11" s="276"/>
      <c r="C11" s="276"/>
      <c r="D11" s="276"/>
      <c r="E11" s="276"/>
      <c r="F11" s="268"/>
      <c r="G11" s="269"/>
      <c r="H11" s="269"/>
      <c r="I11" s="269"/>
      <c r="J11" s="270"/>
      <c r="K11" s="269"/>
      <c r="L11" s="269"/>
      <c r="M11" s="269"/>
      <c r="N11" s="270"/>
      <c r="O11" s="269"/>
      <c r="P11" s="269"/>
      <c r="Q11" s="269"/>
      <c r="R11" s="271"/>
      <c r="S11" s="277"/>
      <c r="T11" s="276"/>
      <c r="U11" s="276"/>
      <c r="V11" s="276"/>
      <c r="W11" s="278"/>
    </row>
    <row r="12" spans="1:23" ht="12.75">
      <c r="A12" s="279" t="s">
        <v>329</v>
      </c>
      <c r="B12" s="280">
        <v>98675</v>
      </c>
      <c r="C12" s="281">
        <v>1045</v>
      </c>
      <c r="D12" s="281">
        <v>97630</v>
      </c>
      <c r="E12" s="281">
        <v>415</v>
      </c>
      <c r="F12" s="282">
        <v>19604.41767068273</v>
      </c>
      <c r="G12" s="283">
        <v>410</v>
      </c>
      <c r="H12" s="284">
        <v>410</v>
      </c>
      <c r="I12" s="284"/>
      <c r="J12" s="285"/>
      <c r="K12" s="283">
        <v>0</v>
      </c>
      <c r="L12" s="284"/>
      <c r="M12" s="284"/>
      <c r="N12" s="285"/>
      <c r="O12" s="283">
        <v>-410</v>
      </c>
      <c r="P12" s="284">
        <v>-410</v>
      </c>
      <c r="Q12" s="284"/>
      <c r="R12" s="286"/>
      <c r="S12" s="287">
        <f>T12+U12</f>
        <v>191421</v>
      </c>
      <c r="T12" s="288">
        <v>2150</v>
      </c>
      <c r="U12" s="288">
        <v>189271</v>
      </c>
      <c r="V12" s="288">
        <v>477</v>
      </c>
      <c r="W12" s="289">
        <f aca="true" t="shared" si="0" ref="W12:W17">U12/V12*1000/12</f>
        <v>33066.212438853945</v>
      </c>
    </row>
    <row r="13" spans="1:23" ht="12.75">
      <c r="A13" s="290" t="s">
        <v>330</v>
      </c>
      <c r="B13" s="291"/>
      <c r="C13" s="292"/>
      <c r="D13" s="292"/>
      <c r="E13" s="292"/>
      <c r="F13" s="293"/>
      <c r="G13" s="294"/>
      <c r="H13" s="295"/>
      <c r="I13" s="295"/>
      <c r="J13" s="296"/>
      <c r="K13" s="294"/>
      <c r="L13" s="295"/>
      <c r="M13" s="295"/>
      <c r="N13" s="296"/>
      <c r="O13" s="294"/>
      <c r="P13" s="295"/>
      <c r="Q13" s="295"/>
      <c r="R13" s="297"/>
      <c r="S13" s="287">
        <f aca="true" t="shared" si="1" ref="S13:S62">T13+U13</f>
        <v>40739</v>
      </c>
      <c r="T13" s="298">
        <v>6206</v>
      </c>
      <c r="U13" s="298">
        <v>34533</v>
      </c>
      <c r="V13" s="298">
        <v>80</v>
      </c>
      <c r="W13" s="289">
        <f t="shared" si="0"/>
        <v>35971.875</v>
      </c>
    </row>
    <row r="14" spans="1:23" ht="12.75">
      <c r="A14" s="290" t="s">
        <v>331</v>
      </c>
      <c r="B14" s="291"/>
      <c r="C14" s="292"/>
      <c r="D14" s="292"/>
      <c r="E14" s="292"/>
      <c r="F14" s="293"/>
      <c r="G14" s="294">
        <v>0</v>
      </c>
      <c r="H14" s="295"/>
      <c r="I14" s="295"/>
      <c r="J14" s="296"/>
      <c r="K14" s="294">
        <v>0</v>
      </c>
      <c r="L14" s="295"/>
      <c r="M14" s="295"/>
      <c r="N14" s="296"/>
      <c r="O14" s="294">
        <v>0</v>
      </c>
      <c r="P14" s="295"/>
      <c r="Q14" s="295"/>
      <c r="R14" s="297"/>
      <c r="S14" s="287">
        <f t="shared" si="1"/>
        <v>38860</v>
      </c>
      <c r="T14" s="298">
        <v>6033</v>
      </c>
      <c r="U14" s="298">
        <v>32827</v>
      </c>
      <c r="V14" s="298">
        <v>80</v>
      </c>
      <c r="W14" s="289">
        <f t="shared" si="0"/>
        <v>34194.791666666664</v>
      </c>
    </row>
    <row r="15" spans="1:34" s="227" customFormat="1" ht="12.75">
      <c r="A15" s="290" t="s">
        <v>332</v>
      </c>
      <c r="B15" s="291"/>
      <c r="C15" s="292"/>
      <c r="D15" s="292"/>
      <c r="E15" s="292"/>
      <c r="F15" s="293"/>
      <c r="G15" s="294"/>
      <c r="H15" s="295"/>
      <c r="I15" s="295"/>
      <c r="J15" s="296"/>
      <c r="K15" s="294"/>
      <c r="L15" s="295"/>
      <c r="M15" s="295"/>
      <c r="N15" s="296"/>
      <c r="O15" s="294"/>
      <c r="P15" s="295"/>
      <c r="Q15" s="295"/>
      <c r="R15" s="297"/>
      <c r="S15" s="287">
        <f t="shared" si="1"/>
        <v>5906</v>
      </c>
      <c r="T15" s="298">
        <v>1520</v>
      </c>
      <c r="U15" s="298">
        <v>4386</v>
      </c>
      <c r="V15" s="298">
        <v>22</v>
      </c>
      <c r="W15" s="289">
        <f t="shared" si="0"/>
        <v>16613.636363636364</v>
      </c>
      <c r="AH15"/>
    </row>
    <row r="16" spans="1:23" ht="13.5" thickBot="1">
      <c r="A16" s="290" t="s">
        <v>333</v>
      </c>
      <c r="B16" s="291"/>
      <c r="C16" s="292"/>
      <c r="D16" s="292"/>
      <c r="E16" s="292"/>
      <c r="F16" s="293"/>
      <c r="G16" s="294">
        <v>0</v>
      </c>
      <c r="H16" s="295"/>
      <c r="I16" s="295"/>
      <c r="J16" s="296"/>
      <c r="K16" s="294">
        <v>0</v>
      </c>
      <c r="L16" s="295"/>
      <c r="M16" s="295"/>
      <c r="N16" s="296"/>
      <c r="O16" s="294">
        <v>0</v>
      </c>
      <c r="P16" s="295"/>
      <c r="Q16" s="295"/>
      <c r="R16" s="297"/>
      <c r="S16" s="287">
        <f>T16+U16</f>
        <v>5460</v>
      </c>
      <c r="T16" s="298">
        <v>398</v>
      </c>
      <c r="U16" s="298">
        <v>5062</v>
      </c>
      <c r="V16" s="298">
        <v>7</v>
      </c>
      <c r="W16" s="289">
        <f t="shared" si="0"/>
        <v>60261.90476190476</v>
      </c>
    </row>
    <row r="17" spans="1:23" ht="13.5" thickBot="1">
      <c r="A17" s="299" t="s">
        <v>334</v>
      </c>
      <c r="B17" s="300">
        <v>98675</v>
      </c>
      <c r="C17" s="300">
        <v>1045</v>
      </c>
      <c r="D17" s="300">
        <v>97630</v>
      </c>
      <c r="E17" s="300">
        <v>415</v>
      </c>
      <c r="F17" s="301">
        <v>19604.41767068273</v>
      </c>
      <c r="G17" s="302">
        <v>410</v>
      </c>
      <c r="H17" s="303">
        <v>410</v>
      </c>
      <c r="I17" s="303">
        <v>0</v>
      </c>
      <c r="J17" s="304">
        <v>0</v>
      </c>
      <c r="K17" s="302">
        <v>0</v>
      </c>
      <c r="L17" s="303">
        <v>0</v>
      </c>
      <c r="M17" s="303">
        <v>0</v>
      </c>
      <c r="N17" s="304">
        <v>0</v>
      </c>
      <c r="O17" s="302">
        <v>-410</v>
      </c>
      <c r="P17" s="303">
        <v>-410</v>
      </c>
      <c r="Q17" s="303">
        <v>0</v>
      </c>
      <c r="R17" s="305">
        <v>0</v>
      </c>
      <c r="S17" s="306">
        <f t="shared" si="1"/>
        <v>282386</v>
      </c>
      <c r="T17" s="300">
        <v>16307</v>
      </c>
      <c r="U17" s="300">
        <v>266079</v>
      </c>
      <c r="V17" s="300">
        <v>666</v>
      </c>
      <c r="W17" s="307">
        <f t="shared" si="0"/>
        <v>33293.16816816817</v>
      </c>
    </row>
    <row r="18" spans="1:23" ht="12.75">
      <c r="A18" s="265" t="s">
        <v>335</v>
      </c>
      <c r="B18" s="276"/>
      <c r="C18" s="276"/>
      <c r="D18" s="276"/>
      <c r="E18" s="276"/>
      <c r="F18" s="268"/>
      <c r="G18" s="269"/>
      <c r="H18" s="269"/>
      <c r="I18" s="269"/>
      <c r="J18" s="270"/>
      <c r="K18" s="269"/>
      <c r="L18" s="269"/>
      <c r="M18" s="269"/>
      <c r="N18" s="270"/>
      <c r="O18" s="269"/>
      <c r="P18" s="269"/>
      <c r="Q18" s="269"/>
      <c r="R18" s="271"/>
      <c r="S18" s="272"/>
      <c r="T18" s="273"/>
      <c r="U18" s="273"/>
      <c r="V18" s="273"/>
      <c r="W18" s="274"/>
    </row>
    <row r="19" spans="1:23" ht="12.75">
      <c r="A19" s="308" t="s">
        <v>328</v>
      </c>
      <c r="B19" s="298"/>
      <c r="C19" s="298"/>
      <c r="D19" s="298"/>
      <c r="E19" s="298"/>
      <c r="F19" s="293"/>
      <c r="G19" s="309"/>
      <c r="H19" s="309"/>
      <c r="I19" s="309"/>
      <c r="J19" s="310"/>
      <c r="K19" s="309"/>
      <c r="L19" s="309"/>
      <c r="M19" s="309"/>
      <c r="N19" s="310"/>
      <c r="O19" s="309"/>
      <c r="P19" s="309"/>
      <c r="Q19" s="309"/>
      <c r="R19" s="311"/>
      <c r="S19" s="312"/>
      <c r="T19" s="298"/>
      <c r="U19" s="298"/>
      <c r="V19" s="298"/>
      <c r="W19" s="313"/>
    </row>
    <row r="20" spans="1:23" ht="13.5" thickBot="1">
      <c r="A20" s="314" t="s">
        <v>336</v>
      </c>
      <c r="B20" s="291">
        <v>141874</v>
      </c>
      <c r="C20" s="292">
        <v>1035</v>
      </c>
      <c r="D20" s="292">
        <v>140839</v>
      </c>
      <c r="E20" s="292">
        <v>674</v>
      </c>
      <c r="F20" s="293">
        <v>17413.328387734917</v>
      </c>
      <c r="G20" s="309">
        <v>0</v>
      </c>
      <c r="H20" s="295"/>
      <c r="I20" s="295"/>
      <c r="J20" s="296"/>
      <c r="K20" s="309">
        <v>0</v>
      </c>
      <c r="L20" s="295"/>
      <c r="M20" s="295"/>
      <c r="N20" s="296"/>
      <c r="O20" s="309">
        <v>0</v>
      </c>
      <c r="P20" s="295"/>
      <c r="Q20" s="295"/>
      <c r="R20" s="297"/>
      <c r="S20" s="315">
        <f t="shared" si="1"/>
        <v>186567</v>
      </c>
      <c r="T20" s="298">
        <v>4850</v>
      </c>
      <c r="U20" s="298">
        <v>181717</v>
      </c>
      <c r="V20" s="298">
        <v>543</v>
      </c>
      <c r="W20" s="313">
        <f>U20/V20*1000/12</f>
        <v>27887.8146101903</v>
      </c>
    </row>
    <row r="21" spans="1:23" ht="13.5" thickBot="1">
      <c r="A21" s="299" t="s">
        <v>337</v>
      </c>
      <c r="B21" s="300">
        <v>141874</v>
      </c>
      <c r="C21" s="300">
        <v>1035</v>
      </c>
      <c r="D21" s="300">
        <v>140839</v>
      </c>
      <c r="E21" s="300">
        <v>674</v>
      </c>
      <c r="F21" s="301">
        <v>17413.328387734917</v>
      </c>
      <c r="G21" s="302">
        <v>0</v>
      </c>
      <c r="H21" s="303">
        <v>0</v>
      </c>
      <c r="I21" s="303">
        <v>0</v>
      </c>
      <c r="J21" s="304">
        <v>0</v>
      </c>
      <c r="K21" s="302">
        <v>0</v>
      </c>
      <c r="L21" s="303">
        <v>0</v>
      </c>
      <c r="M21" s="303">
        <v>0</v>
      </c>
      <c r="N21" s="304">
        <v>0</v>
      </c>
      <c r="O21" s="302">
        <v>0</v>
      </c>
      <c r="P21" s="303">
        <v>0</v>
      </c>
      <c r="Q21" s="303">
        <v>0</v>
      </c>
      <c r="R21" s="305">
        <v>0</v>
      </c>
      <c r="S21" s="316">
        <f t="shared" si="1"/>
        <v>186567</v>
      </c>
      <c r="T21" s="300">
        <v>4850</v>
      </c>
      <c r="U21" s="300">
        <v>181717</v>
      </c>
      <c r="V21" s="300">
        <v>543</v>
      </c>
      <c r="W21" s="307">
        <f>U21/V21*1000/12</f>
        <v>27887.8146101903</v>
      </c>
    </row>
    <row r="22" spans="1:23" ht="12.75">
      <c r="A22" s="317" t="s">
        <v>338</v>
      </c>
      <c r="B22" s="276"/>
      <c r="C22" s="276"/>
      <c r="D22" s="276"/>
      <c r="E22" s="276"/>
      <c r="F22" s="268"/>
      <c r="G22" s="269"/>
      <c r="H22" s="269"/>
      <c r="I22" s="269"/>
      <c r="J22" s="270"/>
      <c r="K22" s="269"/>
      <c r="L22" s="269"/>
      <c r="M22" s="269"/>
      <c r="N22" s="270"/>
      <c r="O22" s="269"/>
      <c r="P22" s="269"/>
      <c r="Q22" s="269"/>
      <c r="R22" s="271"/>
      <c r="S22" s="318"/>
      <c r="T22" s="267"/>
      <c r="U22" s="267"/>
      <c r="V22" s="267"/>
      <c r="W22" s="278"/>
    </row>
    <row r="23" spans="1:23" ht="13.5" customHeight="1">
      <c r="A23" s="308" t="s">
        <v>339</v>
      </c>
      <c r="B23" s="298"/>
      <c r="C23" s="298"/>
      <c r="D23" s="298"/>
      <c r="E23" s="298"/>
      <c r="F23" s="293"/>
      <c r="G23" s="309"/>
      <c r="H23" s="309"/>
      <c r="I23" s="309"/>
      <c r="J23" s="310"/>
      <c r="K23" s="309"/>
      <c r="L23" s="309"/>
      <c r="M23" s="309"/>
      <c r="N23" s="310"/>
      <c r="O23" s="309"/>
      <c r="P23" s="309"/>
      <c r="Q23" s="309"/>
      <c r="R23" s="311"/>
      <c r="S23" s="312"/>
      <c r="T23" s="298"/>
      <c r="U23" s="298"/>
      <c r="V23" s="298"/>
      <c r="W23" s="313"/>
    </row>
    <row r="24" spans="1:23" ht="12.75">
      <c r="A24" s="319" t="s">
        <v>340</v>
      </c>
      <c r="B24" s="288"/>
      <c r="C24" s="288">
        <v>0</v>
      </c>
      <c r="D24" s="320"/>
      <c r="E24" s="320"/>
      <c r="F24" s="282"/>
      <c r="G24" s="321">
        <v>0</v>
      </c>
      <c r="H24" s="322">
        <v>0</v>
      </c>
      <c r="I24" s="322">
        <v>0</v>
      </c>
      <c r="J24" s="323">
        <v>0</v>
      </c>
      <c r="K24" s="321">
        <v>0</v>
      </c>
      <c r="L24" s="322">
        <v>0</v>
      </c>
      <c r="M24" s="322">
        <v>0</v>
      </c>
      <c r="N24" s="323">
        <v>0</v>
      </c>
      <c r="O24" s="321">
        <v>0</v>
      </c>
      <c r="P24" s="322">
        <v>0</v>
      </c>
      <c r="Q24" s="322">
        <v>0</v>
      </c>
      <c r="R24" s="324">
        <v>0</v>
      </c>
      <c r="S24" s="287"/>
      <c r="T24" s="288"/>
      <c r="U24" s="288"/>
      <c r="V24" s="288"/>
      <c r="W24" s="289"/>
    </row>
    <row r="25" spans="1:23" ht="13.5" thickBot="1">
      <c r="A25" s="325" t="s">
        <v>341</v>
      </c>
      <c r="B25" s="326">
        <v>141874</v>
      </c>
      <c r="C25" s="326">
        <v>1035</v>
      </c>
      <c r="D25" s="326">
        <v>140839</v>
      </c>
      <c r="E25" s="326">
        <v>674</v>
      </c>
      <c r="F25" s="326">
        <v>17413.328387734917</v>
      </c>
      <c r="G25" s="327">
        <v>0</v>
      </c>
      <c r="H25" s="328">
        <v>0</v>
      </c>
      <c r="I25" s="328">
        <v>0</v>
      </c>
      <c r="J25" s="329">
        <v>0</v>
      </c>
      <c r="K25" s="327">
        <v>0</v>
      </c>
      <c r="L25" s="328">
        <v>0</v>
      </c>
      <c r="M25" s="328">
        <v>0</v>
      </c>
      <c r="N25" s="329">
        <v>0</v>
      </c>
      <c r="O25" s="327">
        <v>0</v>
      </c>
      <c r="P25" s="328">
        <v>0</v>
      </c>
      <c r="Q25" s="328">
        <v>0</v>
      </c>
      <c r="R25" s="330">
        <v>0</v>
      </c>
      <c r="S25" s="331">
        <f t="shared" si="1"/>
        <v>186567</v>
      </c>
      <c r="T25" s="326">
        <v>4850</v>
      </c>
      <c r="U25" s="326">
        <v>181717</v>
      </c>
      <c r="V25" s="326">
        <v>543</v>
      </c>
      <c r="W25" s="332">
        <f>U25/V25*1000/12</f>
        <v>27887.8146101903</v>
      </c>
    </row>
    <row r="26" spans="1:23" s="341" customFormat="1" ht="12.75" thickBot="1">
      <c r="A26" s="333" t="s">
        <v>342</v>
      </c>
      <c r="B26" s="334">
        <v>240549</v>
      </c>
      <c r="C26" s="335">
        <v>2080</v>
      </c>
      <c r="D26" s="335">
        <v>238469</v>
      </c>
      <c r="E26" s="335">
        <v>1089</v>
      </c>
      <c r="F26" s="336">
        <v>18248.316498316497</v>
      </c>
      <c r="G26" s="337">
        <v>410</v>
      </c>
      <c r="H26" s="337">
        <v>410</v>
      </c>
      <c r="I26" s="337">
        <v>0</v>
      </c>
      <c r="J26" s="338">
        <v>0</v>
      </c>
      <c r="K26" s="337">
        <v>0</v>
      </c>
      <c r="L26" s="337">
        <v>0</v>
      </c>
      <c r="M26" s="337">
        <v>0</v>
      </c>
      <c r="N26" s="338">
        <v>0</v>
      </c>
      <c r="O26" s="337">
        <v>-410</v>
      </c>
      <c r="P26" s="337">
        <v>-410</v>
      </c>
      <c r="Q26" s="337">
        <v>0</v>
      </c>
      <c r="R26" s="339">
        <v>0</v>
      </c>
      <c r="S26" s="340">
        <f t="shared" si="1"/>
        <v>468953</v>
      </c>
      <c r="T26" s="334">
        <v>21157</v>
      </c>
      <c r="U26" s="334">
        <v>447796</v>
      </c>
      <c r="V26" s="334">
        <v>1209</v>
      </c>
      <c r="W26" s="338">
        <f>U26/V26*1000/12</f>
        <v>30865.4535428729</v>
      </c>
    </row>
    <row r="27" spans="1:23" ht="12.75">
      <c r="A27" s="342"/>
      <c r="B27" s="276"/>
      <c r="C27" s="343"/>
      <c r="D27" s="343"/>
      <c r="E27" s="343"/>
      <c r="F27" s="268"/>
      <c r="G27" s="344"/>
      <c r="H27" s="344"/>
      <c r="I27" s="344"/>
      <c r="J27" s="268"/>
      <c r="K27" s="344"/>
      <c r="L27" s="344"/>
      <c r="M27" s="344"/>
      <c r="N27" s="268"/>
      <c r="O27" s="344"/>
      <c r="P27" s="344"/>
      <c r="Q27" s="344"/>
      <c r="R27" s="345"/>
      <c r="S27" s="277"/>
      <c r="T27" s="276"/>
      <c r="U27" s="276"/>
      <c r="V27" s="276"/>
      <c r="W27" s="278"/>
    </row>
    <row r="28" spans="1:23" ht="12.75">
      <c r="A28" s="346" t="s">
        <v>343</v>
      </c>
      <c r="B28" s="276"/>
      <c r="C28" s="343"/>
      <c r="D28" s="343"/>
      <c r="E28" s="343"/>
      <c r="F28" s="268"/>
      <c r="G28" s="344"/>
      <c r="H28" s="344"/>
      <c r="I28" s="344"/>
      <c r="J28" s="268"/>
      <c r="K28" s="344"/>
      <c r="L28" s="344"/>
      <c r="M28" s="344"/>
      <c r="N28" s="268"/>
      <c r="O28" s="344"/>
      <c r="P28" s="344"/>
      <c r="Q28" s="344"/>
      <c r="R28" s="345"/>
      <c r="S28" s="277"/>
      <c r="T28" s="267"/>
      <c r="U28" s="267"/>
      <c r="V28" s="267"/>
      <c r="W28" s="278"/>
    </row>
    <row r="29" spans="1:23" ht="12.75">
      <c r="A29" s="275" t="s">
        <v>328</v>
      </c>
      <c r="B29" s="276"/>
      <c r="C29" s="343"/>
      <c r="D29" s="343"/>
      <c r="E29" s="343"/>
      <c r="F29" s="268"/>
      <c r="G29" s="269"/>
      <c r="H29" s="269"/>
      <c r="I29" s="269"/>
      <c r="J29" s="270"/>
      <c r="K29" s="269"/>
      <c r="L29" s="269"/>
      <c r="M29" s="269"/>
      <c r="N29" s="270"/>
      <c r="O29" s="269"/>
      <c r="P29" s="269"/>
      <c r="Q29" s="269"/>
      <c r="R29" s="271"/>
      <c r="S29" s="277"/>
      <c r="T29" s="276"/>
      <c r="U29" s="276"/>
      <c r="V29" s="276"/>
      <c r="W29" s="278"/>
    </row>
    <row r="30" spans="1:23" ht="12.75">
      <c r="A30" s="347" t="s">
        <v>344</v>
      </c>
      <c r="B30" s="291">
        <v>11321661</v>
      </c>
      <c r="C30" s="292">
        <v>61361</v>
      </c>
      <c r="D30" s="292">
        <v>11260300</v>
      </c>
      <c r="E30" s="292">
        <v>85934</v>
      </c>
      <c r="F30" s="293">
        <v>10919.523510290845</v>
      </c>
      <c r="G30" s="309">
        <v>-410</v>
      </c>
      <c r="H30" s="295">
        <v>-410</v>
      </c>
      <c r="I30" s="295"/>
      <c r="J30" s="296"/>
      <c r="K30" s="309">
        <v>0</v>
      </c>
      <c r="L30" s="295"/>
      <c r="M30" s="295"/>
      <c r="N30" s="296"/>
      <c r="O30" s="309">
        <v>410</v>
      </c>
      <c r="P30" s="295">
        <v>410</v>
      </c>
      <c r="Q30" s="295"/>
      <c r="R30" s="297"/>
      <c r="S30" s="312">
        <f t="shared" si="1"/>
        <v>28768</v>
      </c>
      <c r="T30" s="298">
        <v>1465</v>
      </c>
      <c r="U30" s="298">
        <v>27303</v>
      </c>
      <c r="V30" s="298">
        <v>92</v>
      </c>
      <c r="W30" s="313">
        <f aca="true" t="shared" si="2" ref="W30:W37">U30/V30*1000/12</f>
        <v>24730.978260869568</v>
      </c>
    </row>
    <row r="31" spans="1:23" ht="12.75">
      <c r="A31" s="347" t="s">
        <v>345</v>
      </c>
      <c r="B31" s="291"/>
      <c r="C31" s="292"/>
      <c r="D31" s="292"/>
      <c r="E31" s="292"/>
      <c r="F31" s="293"/>
      <c r="G31" s="309"/>
      <c r="H31" s="295"/>
      <c r="I31" s="295"/>
      <c r="J31" s="296"/>
      <c r="K31" s="309"/>
      <c r="L31" s="295"/>
      <c r="M31" s="295"/>
      <c r="N31" s="296"/>
      <c r="O31" s="309"/>
      <c r="P31" s="295"/>
      <c r="Q31" s="295"/>
      <c r="R31" s="297"/>
      <c r="S31" s="312">
        <f t="shared" si="1"/>
        <v>18923</v>
      </c>
      <c r="T31" s="298">
        <v>1647</v>
      </c>
      <c r="U31" s="298">
        <v>17276</v>
      </c>
      <c r="V31" s="298">
        <v>55</v>
      </c>
      <c r="W31" s="313">
        <f t="shared" si="2"/>
        <v>26175.75757575758</v>
      </c>
    </row>
    <row r="32" spans="1:23" ht="12.75">
      <c r="A32" s="347" t="s">
        <v>346</v>
      </c>
      <c r="B32" s="291">
        <v>4001</v>
      </c>
      <c r="C32" s="292">
        <v>4001</v>
      </c>
      <c r="D32" s="292"/>
      <c r="E32" s="292"/>
      <c r="F32" s="293">
        <v>0</v>
      </c>
      <c r="G32" s="309">
        <v>0</v>
      </c>
      <c r="H32" s="295"/>
      <c r="I32" s="295"/>
      <c r="J32" s="296"/>
      <c r="K32" s="309">
        <v>0</v>
      </c>
      <c r="L32" s="295"/>
      <c r="M32" s="295"/>
      <c r="N32" s="296"/>
      <c r="O32" s="309">
        <v>0</v>
      </c>
      <c r="P32" s="295"/>
      <c r="Q32" s="295"/>
      <c r="R32" s="297"/>
      <c r="S32" s="287">
        <f t="shared" si="1"/>
        <v>11447</v>
      </c>
      <c r="T32" s="298">
        <v>11447</v>
      </c>
      <c r="U32" s="298">
        <v>0</v>
      </c>
      <c r="V32" s="298">
        <v>0</v>
      </c>
      <c r="W32" s="348" t="s">
        <v>347</v>
      </c>
    </row>
    <row r="33" spans="1:23" ht="12.75">
      <c r="A33" s="347" t="s">
        <v>348</v>
      </c>
      <c r="B33" s="291"/>
      <c r="C33" s="292"/>
      <c r="D33" s="292"/>
      <c r="E33" s="292"/>
      <c r="F33" s="293"/>
      <c r="G33" s="309"/>
      <c r="H33" s="295"/>
      <c r="I33" s="295"/>
      <c r="J33" s="296"/>
      <c r="K33" s="309"/>
      <c r="L33" s="295"/>
      <c r="M33" s="295"/>
      <c r="N33" s="296"/>
      <c r="O33" s="309"/>
      <c r="P33" s="295"/>
      <c r="Q33" s="295"/>
      <c r="R33" s="297"/>
      <c r="S33" s="287">
        <f t="shared" si="1"/>
        <v>35</v>
      </c>
      <c r="T33" s="298">
        <v>35</v>
      </c>
      <c r="U33" s="298">
        <v>0</v>
      </c>
      <c r="V33" s="298">
        <v>0</v>
      </c>
      <c r="W33" s="348" t="s">
        <v>347</v>
      </c>
    </row>
    <row r="34" spans="1:23" ht="12.75">
      <c r="A34" s="347" t="s">
        <v>349</v>
      </c>
      <c r="B34" s="291"/>
      <c r="C34" s="292"/>
      <c r="D34" s="292"/>
      <c r="E34" s="292"/>
      <c r="F34" s="293"/>
      <c r="G34" s="309"/>
      <c r="H34" s="295"/>
      <c r="I34" s="295"/>
      <c r="J34" s="296"/>
      <c r="K34" s="309"/>
      <c r="L34" s="295"/>
      <c r="M34" s="295"/>
      <c r="N34" s="296"/>
      <c r="O34" s="309"/>
      <c r="P34" s="295"/>
      <c r="Q34" s="295"/>
      <c r="R34" s="297"/>
      <c r="S34" s="287">
        <f t="shared" si="1"/>
        <v>8587</v>
      </c>
      <c r="T34" s="298">
        <v>5147</v>
      </c>
      <c r="U34" s="298">
        <v>3440</v>
      </c>
      <c r="V34" s="298">
        <v>40</v>
      </c>
      <c r="W34" s="313">
        <f t="shared" si="2"/>
        <v>7166.666666666667</v>
      </c>
    </row>
    <row r="35" spans="1:23" ht="12.75">
      <c r="A35" s="347" t="s">
        <v>350</v>
      </c>
      <c r="B35" s="291">
        <v>1986</v>
      </c>
      <c r="C35" s="292">
        <v>1986</v>
      </c>
      <c r="D35" s="292"/>
      <c r="E35" s="292"/>
      <c r="F35" s="293">
        <v>0</v>
      </c>
      <c r="G35" s="309">
        <v>0</v>
      </c>
      <c r="H35" s="295"/>
      <c r="I35" s="295"/>
      <c r="J35" s="296"/>
      <c r="K35" s="309">
        <v>0</v>
      </c>
      <c r="L35" s="295"/>
      <c r="M35" s="295"/>
      <c r="N35" s="296"/>
      <c r="O35" s="309">
        <v>0</v>
      </c>
      <c r="P35" s="295"/>
      <c r="Q35" s="295"/>
      <c r="R35" s="297"/>
      <c r="S35" s="287">
        <f t="shared" si="1"/>
        <v>4568</v>
      </c>
      <c r="T35" s="298">
        <v>4568</v>
      </c>
      <c r="U35" s="298">
        <v>0</v>
      </c>
      <c r="V35" s="298">
        <v>0</v>
      </c>
      <c r="W35" s="348" t="s">
        <v>347</v>
      </c>
    </row>
    <row r="36" spans="1:23" ht="13.5" thickBot="1">
      <c r="A36" s="347" t="s">
        <v>351</v>
      </c>
      <c r="B36" s="291"/>
      <c r="C36" s="292"/>
      <c r="D36" s="292"/>
      <c r="E36" s="292"/>
      <c r="F36" s="293"/>
      <c r="G36" s="309">
        <v>0</v>
      </c>
      <c r="H36" s="295"/>
      <c r="I36" s="295"/>
      <c r="J36" s="296"/>
      <c r="K36" s="309">
        <v>0</v>
      </c>
      <c r="L36" s="295"/>
      <c r="M36" s="295"/>
      <c r="N36" s="296"/>
      <c r="O36" s="309">
        <v>0</v>
      </c>
      <c r="P36" s="295"/>
      <c r="Q36" s="295"/>
      <c r="R36" s="297"/>
      <c r="S36" s="287">
        <f t="shared" si="1"/>
        <v>4567</v>
      </c>
      <c r="T36" s="298">
        <v>4567</v>
      </c>
      <c r="U36" s="298">
        <v>0</v>
      </c>
      <c r="V36" s="298">
        <v>0</v>
      </c>
      <c r="W36" s="348" t="s">
        <v>347</v>
      </c>
    </row>
    <row r="37" spans="1:23" ht="13.5" thickBot="1">
      <c r="A37" s="299" t="s">
        <v>352</v>
      </c>
      <c r="B37" s="300">
        <v>11327648</v>
      </c>
      <c r="C37" s="349">
        <v>67348</v>
      </c>
      <c r="D37" s="349">
        <v>11260300</v>
      </c>
      <c r="E37" s="349">
        <v>85934</v>
      </c>
      <c r="F37" s="301">
        <v>10919.523510290845</v>
      </c>
      <c r="G37" s="302">
        <v>-410</v>
      </c>
      <c r="H37" s="303">
        <v>-410</v>
      </c>
      <c r="I37" s="303">
        <v>0</v>
      </c>
      <c r="J37" s="304">
        <v>0</v>
      </c>
      <c r="K37" s="302">
        <v>0</v>
      </c>
      <c r="L37" s="303">
        <v>0</v>
      </c>
      <c r="M37" s="303">
        <v>0</v>
      </c>
      <c r="N37" s="304">
        <v>0</v>
      </c>
      <c r="O37" s="302">
        <v>410</v>
      </c>
      <c r="P37" s="303">
        <v>410</v>
      </c>
      <c r="Q37" s="303">
        <v>0</v>
      </c>
      <c r="R37" s="305">
        <v>0</v>
      </c>
      <c r="S37" s="306">
        <f t="shared" si="1"/>
        <v>76895</v>
      </c>
      <c r="T37" s="300">
        <v>28876</v>
      </c>
      <c r="U37" s="300">
        <v>48019</v>
      </c>
      <c r="V37" s="300">
        <v>187</v>
      </c>
      <c r="W37" s="307">
        <f t="shared" si="2"/>
        <v>21398.84135472371</v>
      </c>
    </row>
    <row r="38" spans="1:23" ht="12.75">
      <c r="A38" s="358"/>
      <c r="B38" s="359"/>
      <c r="C38" s="360"/>
      <c r="D38" s="360"/>
      <c r="E38" s="360"/>
      <c r="F38" s="361"/>
      <c r="G38" s="362"/>
      <c r="H38" s="362"/>
      <c r="I38" s="362"/>
      <c r="J38" s="361"/>
      <c r="K38" s="362"/>
      <c r="L38" s="362"/>
      <c r="M38" s="362"/>
      <c r="N38" s="361"/>
      <c r="O38" s="362"/>
      <c r="P38" s="362"/>
      <c r="Q38" s="362"/>
      <c r="R38" s="363"/>
      <c r="S38" s="364"/>
      <c r="T38" s="359"/>
      <c r="U38" s="359"/>
      <c r="V38" s="359"/>
      <c r="W38" s="365"/>
    </row>
    <row r="39" spans="1:23" ht="15.75">
      <c r="A39" s="366" t="s">
        <v>353</v>
      </c>
      <c r="B39" s="367">
        <v>11568197</v>
      </c>
      <c r="C39" s="368">
        <v>69428</v>
      </c>
      <c r="D39" s="368">
        <v>11498769</v>
      </c>
      <c r="E39" s="368">
        <v>87023</v>
      </c>
      <c r="F39" s="369">
        <v>11011.23553543316</v>
      </c>
      <c r="G39" s="370">
        <v>0</v>
      </c>
      <c r="H39" s="370">
        <v>0</v>
      </c>
      <c r="I39" s="370">
        <v>0</v>
      </c>
      <c r="J39" s="369">
        <v>0</v>
      </c>
      <c r="K39" s="370">
        <v>0</v>
      </c>
      <c r="L39" s="370">
        <v>0</v>
      </c>
      <c r="M39" s="370">
        <v>0</v>
      </c>
      <c r="N39" s="369">
        <v>0</v>
      </c>
      <c r="O39" s="370">
        <v>0</v>
      </c>
      <c r="P39" s="370">
        <v>0</v>
      </c>
      <c r="Q39" s="370">
        <v>0</v>
      </c>
      <c r="R39" s="371">
        <v>0</v>
      </c>
      <c r="S39" s="372">
        <f t="shared" si="1"/>
        <v>545848</v>
      </c>
      <c r="T39" s="367">
        <v>50033</v>
      </c>
      <c r="U39" s="367">
        <v>495815</v>
      </c>
      <c r="V39" s="367">
        <v>1396</v>
      </c>
      <c r="W39" s="373">
        <f>U39/V39*1000/12</f>
        <v>29597.36150907354</v>
      </c>
    </row>
    <row r="40" spans="1:23" ht="13.5" thickBot="1">
      <c r="A40" s="374"/>
      <c r="B40" s="375"/>
      <c r="C40" s="376"/>
      <c r="D40" s="376"/>
      <c r="E40" s="376"/>
      <c r="F40" s="377"/>
      <c r="G40" s="378"/>
      <c r="H40" s="378"/>
      <c r="I40" s="378"/>
      <c r="J40" s="377"/>
      <c r="K40" s="378"/>
      <c r="L40" s="378"/>
      <c r="M40" s="378"/>
      <c r="N40" s="377"/>
      <c r="O40" s="378"/>
      <c r="P40" s="378"/>
      <c r="Q40" s="378"/>
      <c r="R40" s="379"/>
      <c r="S40" s="380"/>
      <c r="T40" s="375"/>
      <c r="U40" s="375"/>
      <c r="V40" s="375"/>
      <c r="W40" s="381"/>
    </row>
    <row r="41" spans="1:23" ht="12.75">
      <c r="A41" s="350"/>
      <c r="B41" s="351"/>
      <c r="C41" s="352"/>
      <c r="D41" s="352"/>
      <c r="E41" s="352"/>
      <c r="F41" s="353"/>
      <c r="G41" s="354"/>
      <c r="H41" s="354"/>
      <c r="I41" s="354"/>
      <c r="J41" s="353"/>
      <c r="K41" s="354"/>
      <c r="L41" s="354"/>
      <c r="M41" s="354"/>
      <c r="N41" s="353"/>
      <c r="O41" s="354"/>
      <c r="P41" s="354"/>
      <c r="Q41" s="354"/>
      <c r="R41" s="355"/>
      <c r="S41" s="356"/>
      <c r="T41" s="351"/>
      <c r="U41" s="351"/>
      <c r="V41" s="351"/>
      <c r="W41" s="357"/>
    </row>
    <row r="42" spans="1:23" ht="12.75">
      <c r="A42" s="346" t="s">
        <v>354</v>
      </c>
      <c r="B42" s="382"/>
      <c r="C42" s="383"/>
      <c r="D42" s="383"/>
      <c r="E42" s="383"/>
      <c r="F42" s="384"/>
      <c r="G42" s="385"/>
      <c r="H42" s="385"/>
      <c r="I42" s="385"/>
      <c r="J42" s="384"/>
      <c r="K42" s="385"/>
      <c r="L42" s="385"/>
      <c r="M42" s="385"/>
      <c r="N42" s="384"/>
      <c r="O42" s="385"/>
      <c r="P42" s="385"/>
      <c r="Q42" s="385"/>
      <c r="R42" s="386"/>
      <c r="S42" s="272">
        <f t="shared" si="1"/>
        <v>58008855</v>
      </c>
      <c r="T42" s="387">
        <f>T44+T54+T58</f>
        <v>832277</v>
      </c>
      <c r="U42" s="387">
        <v>57176578</v>
      </c>
      <c r="V42" s="273">
        <f>V44+V54+V58</f>
        <v>227188</v>
      </c>
      <c r="W42" s="274">
        <f>U42/V42*1000/12</f>
        <v>20972.563838465645</v>
      </c>
    </row>
    <row r="43" spans="1:23" ht="12.75">
      <c r="A43" s="308" t="s">
        <v>311</v>
      </c>
      <c r="B43" s="298"/>
      <c r="C43" s="388"/>
      <c r="D43" s="388"/>
      <c r="E43" s="388"/>
      <c r="F43" s="293"/>
      <c r="G43" s="309"/>
      <c r="H43" s="309"/>
      <c r="I43" s="309"/>
      <c r="J43" s="310"/>
      <c r="K43" s="309"/>
      <c r="L43" s="309"/>
      <c r="M43" s="309"/>
      <c r="N43" s="310"/>
      <c r="O43" s="309"/>
      <c r="P43" s="309"/>
      <c r="Q43" s="309"/>
      <c r="R43" s="311"/>
      <c r="S43" s="312"/>
      <c r="T43" s="298"/>
      <c r="U43" s="298"/>
      <c r="V43" s="298"/>
      <c r="W43" s="389"/>
    </row>
    <row r="44" spans="1:23" ht="12.75">
      <c r="A44" s="390" t="s">
        <v>355</v>
      </c>
      <c r="B44" s="391"/>
      <c r="C44" s="392"/>
      <c r="D44" s="392"/>
      <c r="E44" s="392"/>
      <c r="F44" s="393"/>
      <c r="G44" s="394"/>
      <c r="H44" s="395"/>
      <c r="I44" s="395"/>
      <c r="J44" s="396"/>
      <c r="K44" s="394"/>
      <c r="L44" s="395"/>
      <c r="M44" s="395"/>
      <c r="N44" s="396"/>
      <c r="O44" s="394"/>
      <c r="P44" s="395"/>
      <c r="Q44" s="395"/>
      <c r="R44" s="397"/>
      <c r="S44" s="398">
        <f t="shared" si="1"/>
        <v>502067</v>
      </c>
      <c r="T44" s="399">
        <v>152822</v>
      </c>
      <c r="U44" s="399">
        <v>349245</v>
      </c>
      <c r="V44" s="399">
        <v>1151</v>
      </c>
      <c r="W44" s="400">
        <f aca="true" t="shared" si="3" ref="W44:W62">U44/V44*1000/12</f>
        <v>25285.621198957426</v>
      </c>
    </row>
    <row r="45" spans="1:23" ht="12.75">
      <c r="A45" s="401" t="s">
        <v>311</v>
      </c>
      <c r="B45" s="391"/>
      <c r="C45" s="392"/>
      <c r="D45" s="392"/>
      <c r="E45" s="392"/>
      <c r="F45" s="393"/>
      <c r="G45" s="394"/>
      <c r="H45" s="395"/>
      <c r="I45" s="395"/>
      <c r="J45" s="396"/>
      <c r="K45" s="394"/>
      <c r="L45" s="395"/>
      <c r="M45" s="395"/>
      <c r="N45" s="396"/>
      <c r="O45" s="394"/>
      <c r="P45" s="395"/>
      <c r="Q45" s="395"/>
      <c r="R45" s="397"/>
      <c r="S45" s="398"/>
      <c r="T45" s="399"/>
      <c r="U45" s="399"/>
      <c r="V45" s="399"/>
      <c r="W45" s="400"/>
    </row>
    <row r="46" spans="1:23" ht="24.75" customHeight="1">
      <c r="A46" s="402" t="s">
        <v>356</v>
      </c>
      <c r="B46" s="291">
        <v>207354</v>
      </c>
      <c r="C46" s="292">
        <v>26856</v>
      </c>
      <c r="D46" s="292">
        <v>180498</v>
      </c>
      <c r="E46" s="292">
        <v>1105</v>
      </c>
      <c r="F46" s="293">
        <v>13612.217194570136</v>
      </c>
      <c r="G46" s="309">
        <v>0</v>
      </c>
      <c r="H46" s="295"/>
      <c r="I46" s="295"/>
      <c r="J46" s="296"/>
      <c r="K46" s="309">
        <v>0</v>
      </c>
      <c r="L46" s="295"/>
      <c r="M46" s="295"/>
      <c r="N46" s="296"/>
      <c r="O46" s="309">
        <v>0</v>
      </c>
      <c r="P46" s="295"/>
      <c r="Q46" s="295"/>
      <c r="R46" s="297"/>
      <c r="S46" s="312">
        <f t="shared" si="1"/>
        <v>257401</v>
      </c>
      <c r="T46" s="298">
        <v>44914</v>
      </c>
      <c r="U46" s="298">
        <v>212487</v>
      </c>
      <c r="V46" s="298">
        <v>900</v>
      </c>
      <c r="W46" s="313">
        <f t="shared" si="3"/>
        <v>19674.722222222223</v>
      </c>
    </row>
    <row r="47" spans="1:23" ht="13.5" customHeight="1">
      <c r="A47" s="402" t="s">
        <v>357</v>
      </c>
      <c r="B47" s="291"/>
      <c r="C47" s="292"/>
      <c r="D47" s="292"/>
      <c r="E47" s="292"/>
      <c r="F47" s="293"/>
      <c r="G47" s="309"/>
      <c r="H47" s="295"/>
      <c r="I47" s="295"/>
      <c r="J47" s="296"/>
      <c r="K47" s="309"/>
      <c r="L47" s="295"/>
      <c r="M47" s="295"/>
      <c r="N47" s="296"/>
      <c r="O47" s="309"/>
      <c r="P47" s="295"/>
      <c r="Q47" s="295"/>
      <c r="R47" s="297"/>
      <c r="S47" s="312">
        <f t="shared" si="1"/>
        <v>205200</v>
      </c>
      <c r="T47" s="298">
        <v>82600</v>
      </c>
      <c r="U47" s="298">
        <v>122600</v>
      </c>
      <c r="V47" s="298">
        <v>240</v>
      </c>
      <c r="W47" s="313">
        <f t="shared" si="3"/>
        <v>42569.444444444445</v>
      </c>
    </row>
    <row r="48" spans="1:23" ht="13.5" customHeight="1">
      <c r="A48" s="347" t="s">
        <v>358</v>
      </c>
      <c r="B48" s="291"/>
      <c r="C48" s="292"/>
      <c r="D48" s="292"/>
      <c r="E48" s="292"/>
      <c r="F48" s="293"/>
      <c r="G48" s="309"/>
      <c r="H48" s="295"/>
      <c r="I48" s="295"/>
      <c r="J48" s="296"/>
      <c r="K48" s="309"/>
      <c r="L48" s="295"/>
      <c r="M48" s="295"/>
      <c r="N48" s="296"/>
      <c r="O48" s="309"/>
      <c r="P48" s="295"/>
      <c r="Q48" s="295"/>
      <c r="R48" s="297"/>
      <c r="S48" s="312">
        <f t="shared" si="1"/>
        <v>8967</v>
      </c>
      <c r="T48" s="298">
        <v>8967</v>
      </c>
      <c r="U48" s="298">
        <v>0</v>
      </c>
      <c r="V48" s="298">
        <v>0</v>
      </c>
      <c r="W48" s="348" t="s">
        <v>347</v>
      </c>
    </row>
    <row r="49" spans="1:23" ht="12.75" customHeight="1">
      <c r="A49" s="347" t="s">
        <v>359</v>
      </c>
      <c r="B49" s="291"/>
      <c r="C49" s="292"/>
      <c r="D49" s="292"/>
      <c r="E49" s="292"/>
      <c r="F49" s="293"/>
      <c r="G49" s="309"/>
      <c r="H49" s="295"/>
      <c r="I49" s="295"/>
      <c r="J49" s="296"/>
      <c r="K49" s="309"/>
      <c r="L49" s="295"/>
      <c r="M49" s="295"/>
      <c r="N49" s="296"/>
      <c r="O49" s="309"/>
      <c r="P49" s="295"/>
      <c r="Q49" s="295"/>
      <c r="R49" s="297"/>
      <c r="S49" s="312">
        <f t="shared" si="1"/>
        <v>2951.57</v>
      </c>
      <c r="T49" s="298">
        <v>443</v>
      </c>
      <c r="U49" s="298">
        <v>2508.57</v>
      </c>
      <c r="V49" s="298">
        <v>6</v>
      </c>
      <c r="W49" s="313">
        <f t="shared" si="3"/>
        <v>34841.25</v>
      </c>
    </row>
    <row r="50" spans="1:23" ht="12.75">
      <c r="A50" s="347" t="s">
        <v>360</v>
      </c>
      <c r="B50" s="291">
        <v>2979</v>
      </c>
      <c r="C50" s="292">
        <v>1777</v>
      </c>
      <c r="D50" s="292">
        <v>1202</v>
      </c>
      <c r="E50" s="292">
        <v>0</v>
      </c>
      <c r="F50" s="293">
        <v>0</v>
      </c>
      <c r="G50" s="309">
        <v>0</v>
      </c>
      <c r="H50" s="295"/>
      <c r="I50" s="295"/>
      <c r="J50" s="296"/>
      <c r="K50" s="309">
        <v>0</v>
      </c>
      <c r="L50" s="295"/>
      <c r="M50" s="295"/>
      <c r="N50" s="296"/>
      <c r="O50" s="309">
        <v>0</v>
      </c>
      <c r="P50" s="295"/>
      <c r="Q50" s="295"/>
      <c r="R50" s="297"/>
      <c r="S50" s="312">
        <f t="shared" si="1"/>
        <v>5074</v>
      </c>
      <c r="T50" s="298">
        <v>2029</v>
      </c>
      <c r="U50" s="298">
        <v>3045</v>
      </c>
      <c r="V50" s="298">
        <v>1</v>
      </c>
      <c r="W50" s="348" t="s">
        <v>347</v>
      </c>
    </row>
    <row r="51" spans="1:23" ht="12.75">
      <c r="A51" s="347" t="s">
        <v>361</v>
      </c>
      <c r="B51" s="291"/>
      <c r="C51" s="292"/>
      <c r="D51" s="292"/>
      <c r="E51" s="292"/>
      <c r="F51" s="293"/>
      <c r="G51" s="309"/>
      <c r="H51" s="295"/>
      <c r="I51" s="295"/>
      <c r="J51" s="296"/>
      <c r="K51" s="309"/>
      <c r="L51" s="295"/>
      <c r="M51" s="295"/>
      <c r="N51" s="296"/>
      <c r="O51" s="309"/>
      <c r="P51" s="295"/>
      <c r="Q51" s="295"/>
      <c r="R51" s="297"/>
      <c r="S51" s="312">
        <f t="shared" si="1"/>
        <v>8171</v>
      </c>
      <c r="T51" s="298">
        <v>8171</v>
      </c>
      <c r="U51" s="298">
        <v>0</v>
      </c>
      <c r="V51" s="298">
        <v>0</v>
      </c>
      <c r="W51" s="348" t="s">
        <v>347</v>
      </c>
    </row>
    <row r="52" spans="1:23" ht="12.75">
      <c r="A52" s="347" t="s">
        <v>362</v>
      </c>
      <c r="B52" s="291"/>
      <c r="C52" s="292"/>
      <c r="D52" s="292"/>
      <c r="E52" s="292"/>
      <c r="F52" s="293"/>
      <c r="G52" s="309">
        <v>0</v>
      </c>
      <c r="H52" s="295"/>
      <c r="I52" s="295"/>
      <c r="J52" s="296"/>
      <c r="K52" s="309">
        <v>0</v>
      </c>
      <c r="L52" s="295"/>
      <c r="M52" s="295"/>
      <c r="N52" s="296"/>
      <c r="O52" s="309">
        <v>0</v>
      </c>
      <c r="P52" s="295"/>
      <c r="Q52" s="295"/>
      <c r="R52" s="297"/>
      <c r="S52" s="312">
        <f t="shared" si="1"/>
        <v>515</v>
      </c>
      <c r="T52" s="298">
        <v>485</v>
      </c>
      <c r="U52" s="298">
        <v>30</v>
      </c>
      <c r="V52" s="298">
        <v>0</v>
      </c>
      <c r="W52" s="348" t="s">
        <v>347</v>
      </c>
    </row>
    <row r="53" spans="1:23" ht="12.75">
      <c r="A53" s="347" t="s">
        <v>363</v>
      </c>
      <c r="B53" s="291"/>
      <c r="C53" s="292"/>
      <c r="D53" s="292"/>
      <c r="E53" s="292"/>
      <c r="F53" s="293"/>
      <c r="G53" s="309"/>
      <c r="H53" s="295"/>
      <c r="I53" s="295"/>
      <c r="J53" s="296"/>
      <c r="K53" s="309"/>
      <c r="L53" s="295"/>
      <c r="M53" s="295"/>
      <c r="N53" s="296"/>
      <c r="O53" s="309"/>
      <c r="P53" s="295"/>
      <c r="Q53" s="295"/>
      <c r="R53" s="297"/>
      <c r="S53" s="312">
        <f t="shared" si="1"/>
        <v>13787</v>
      </c>
      <c r="T53" s="298">
        <v>5213</v>
      </c>
      <c r="U53" s="298">
        <v>8574</v>
      </c>
      <c r="V53" s="298">
        <v>4</v>
      </c>
      <c r="W53" s="348" t="s">
        <v>347</v>
      </c>
    </row>
    <row r="54" spans="1:23" ht="12.75">
      <c r="A54" s="390" t="s">
        <v>364</v>
      </c>
      <c r="B54" s="391"/>
      <c r="C54" s="392"/>
      <c r="D54" s="392"/>
      <c r="E54" s="392"/>
      <c r="F54" s="393"/>
      <c r="G54" s="394"/>
      <c r="H54" s="395"/>
      <c r="I54" s="395"/>
      <c r="J54" s="396"/>
      <c r="K54" s="394"/>
      <c r="L54" s="395"/>
      <c r="M54" s="395"/>
      <c r="N54" s="396"/>
      <c r="O54" s="394"/>
      <c r="P54" s="395"/>
      <c r="Q54" s="395"/>
      <c r="R54" s="397"/>
      <c r="S54" s="398">
        <f t="shared" si="1"/>
        <v>56286404</v>
      </c>
      <c r="T54" s="399">
        <f>T56+T57</f>
        <v>667364</v>
      </c>
      <c r="U54" s="399">
        <v>55619040</v>
      </c>
      <c r="V54" s="399">
        <f>V56+V57</f>
        <v>221559</v>
      </c>
      <c r="W54" s="400">
        <f t="shared" si="3"/>
        <v>20919.574470005733</v>
      </c>
    </row>
    <row r="55" spans="1:23" ht="12.75">
      <c r="A55" s="401" t="s">
        <v>311</v>
      </c>
      <c r="B55" s="391"/>
      <c r="C55" s="392"/>
      <c r="D55" s="392"/>
      <c r="E55" s="392"/>
      <c r="F55" s="393"/>
      <c r="G55" s="394"/>
      <c r="H55" s="395"/>
      <c r="I55" s="395"/>
      <c r="J55" s="396"/>
      <c r="K55" s="394"/>
      <c r="L55" s="395"/>
      <c r="M55" s="395"/>
      <c r="N55" s="396"/>
      <c r="O55" s="394"/>
      <c r="P55" s="395"/>
      <c r="Q55" s="395"/>
      <c r="R55" s="397"/>
      <c r="S55" s="312"/>
      <c r="T55" s="399"/>
      <c r="U55" s="399"/>
      <c r="V55" s="399"/>
      <c r="W55" s="400"/>
    </row>
    <row r="56" spans="1:23" ht="12.75">
      <c r="A56" s="347" t="s">
        <v>365</v>
      </c>
      <c r="B56" s="291"/>
      <c r="C56" s="292"/>
      <c r="D56" s="292"/>
      <c r="E56" s="292"/>
      <c r="F56" s="293"/>
      <c r="G56" s="309"/>
      <c r="H56" s="295"/>
      <c r="I56" s="295"/>
      <c r="J56" s="296"/>
      <c r="K56" s="309"/>
      <c r="L56" s="295"/>
      <c r="M56" s="295"/>
      <c r="N56" s="296"/>
      <c r="O56" s="309"/>
      <c r="P56" s="295"/>
      <c r="Q56" s="295"/>
      <c r="R56" s="297"/>
      <c r="S56" s="312">
        <f t="shared" si="1"/>
        <v>56162973</v>
      </c>
      <c r="T56" s="298">
        <v>630000</v>
      </c>
      <c r="U56" s="298">
        <v>55532973</v>
      </c>
      <c r="V56" s="298">
        <v>221391</v>
      </c>
      <c r="W56" s="313">
        <f t="shared" si="3"/>
        <v>20903.05274378814</v>
      </c>
    </row>
    <row r="57" spans="1:23" ht="12.75">
      <c r="A57" s="402" t="s">
        <v>366</v>
      </c>
      <c r="B57" s="291"/>
      <c r="C57" s="292"/>
      <c r="D57" s="292"/>
      <c r="E57" s="292"/>
      <c r="F57" s="293"/>
      <c r="G57" s="309"/>
      <c r="H57" s="295"/>
      <c r="I57" s="295"/>
      <c r="J57" s="296"/>
      <c r="K57" s="309"/>
      <c r="L57" s="295"/>
      <c r="M57" s="295"/>
      <c r="N57" s="296"/>
      <c r="O57" s="309"/>
      <c r="P57" s="295"/>
      <c r="Q57" s="295"/>
      <c r="R57" s="297"/>
      <c r="S57" s="312">
        <f t="shared" si="1"/>
        <v>123431</v>
      </c>
      <c r="T57" s="388">
        <v>37364</v>
      </c>
      <c r="U57" s="388">
        <v>86067</v>
      </c>
      <c r="V57" s="298">
        <f>1119-951</f>
        <v>168</v>
      </c>
      <c r="W57" s="313">
        <f t="shared" si="3"/>
        <v>42691.96428571428</v>
      </c>
    </row>
    <row r="58" spans="1:23" ht="13.5" thickBot="1">
      <c r="A58" s="403" t="s">
        <v>367</v>
      </c>
      <c r="B58" s="391"/>
      <c r="C58" s="392"/>
      <c r="D58" s="392"/>
      <c r="E58" s="392"/>
      <c r="F58" s="393"/>
      <c r="G58" s="394"/>
      <c r="H58" s="395"/>
      <c r="I58" s="395"/>
      <c r="J58" s="396"/>
      <c r="K58" s="394"/>
      <c r="L58" s="395"/>
      <c r="M58" s="395"/>
      <c r="N58" s="396"/>
      <c r="O58" s="394"/>
      <c r="P58" s="395"/>
      <c r="Q58" s="395"/>
      <c r="R58" s="397"/>
      <c r="S58" s="398">
        <f t="shared" si="1"/>
        <v>1220384</v>
      </c>
      <c r="T58" s="399">
        <v>12091</v>
      </c>
      <c r="U58" s="399">
        <v>1208293</v>
      </c>
      <c r="V58" s="399">
        <v>4478</v>
      </c>
      <c r="W58" s="400">
        <f t="shared" si="3"/>
        <v>22485.72651481316</v>
      </c>
    </row>
    <row r="59" spans="1:23" s="414" customFormat="1" ht="36" customHeight="1" thickBot="1">
      <c r="A59" s="404" t="s">
        <v>368</v>
      </c>
      <c r="B59" s="405">
        <v>210333</v>
      </c>
      <c r="C59" s="406">
        <v>28633</v>
      </c>
      <c r="D59" s="406">
        <v>181700</v>
      </c>
      <c r="E59" s="406">
        <v>1105</v>
      </c>
      <c r="F59" s="407">
        <v>13702.86576168929</v>
      </c>
      <c r="G59" s="408">
        <v>0</v>
      </c>
      <c r="H59" s="409">
        <v>0</v>
      </c>
      <c r="I59" s="409">
        <v>0</v>
      </c>
      <c r="J59" s="410">
        <v>0</v>
      </c>
      <c r="K59" s="408">
        <v>0</v>
      </c>
      <c r="L59" s="409">
        <v>0</v>
      </c>
      <c r="M59" s="409">
        <v>0</v>
      </c>
      <c r="N59" s="410">
        <v>0</v>
      </c>
      <c r="O59" s="408">
        <v>0</v>
      </c>
      <c r="P59" s="409">
        <v>0</v>
      </c>
      <c r="Q59" s="409">
        <v>0</v>
      </c>
      <c r="R59" s="411">
        <v>0</v>
      </c>
      <c r="S59" s="412">
        <f t="shared" si="1"/>
        <v>58008855</v>
      </c>
      <c r="T59" s="405">
        <f>T58+T54+T44</f>
        <v>832277</v>
      </c>
      <c r="U59" s="405">
        <v>57176578</v>
      </c>
      <c r="V59" s="405">
        <f>V58+V54+V44</f>
        <v>227188</v>
      </c>
      <c r="W59" s="413">
        <f t="shared" si="3"/>
        <v>20972.563838465645</v>
      </c>
    </row>
    <row r="60" spans="1:23" ht="13.5" hidden="1" thickBot="1">
      <c r="A60" s="415"/>
      <c r="B60" s="416"/>
      <c r="C60" s="417"/>
      <c r="D60" s="417"/>
      <c r="E60" s="417"/>
      <c r="F60" s="418"/>
      <c r="G60" s="419"/>
      <c r="H60" s="419"/>
      <c r="I60" s="419"/>
      <c r="J60" s="418"/>
      <c r="K60" s="419"/>
      <c r="L60" s="419"/>
      <c r="M60" s="419"/>
      <c r="N60" s="418"/>
      <c r="O60" s="419"/>
      <c r="P60" s="419"/>
      <c r="Q60" s="419"/>
      <c r="R60" s="420"/>
      <c r="S60" s="421">
        <f t="shared" si="1"/>
        <v>0</v>
      </c>
      <c r="T60" s="416"/>
      <c r="U60" s="416">
        <v>0</v>
      </c>
      <c r="V60" s="416"/>
      <c r="W60" s="422" t="e">
        <f t="shared" si="3"/>
        <v>#DIV/0!</v>
      </c>
    </row>
    <row r="61" spans="1:23" ht="12.75">
      <c r="A61" s="423"/>
      <c r="B61" s="351"/>
      <c r="C61" s="352"/>
      <c r="D61" s="352"/>
      <c r="E61" s="352"/>
      <c r="F61" s="353"/>
      <c r="G61" s="354"/>
      <c r="H61" s="354"/>
      <c r="I61" s="354"/>
      <c r="J61" s="353"/>
      <c r="K61" s="354"/>
      <c r="L61" s="354"/>
      <c r="M61" s="354"/>
      <c r="N61" s="353"/>
      <c r="O61" s="354"/>
      <c r="P61" s="354"/>
      <c r="Q61" s="354"/>
      <c r="R61" s="355"/>
      <c r="S61" s="356"/>
      <c r="T61" s="351"/>
      <c r="U61" s="351"/>
      <c r="V61" s="351"/>
      <c r="W61" s="357"/>
    </row>
    <row r="62" spans="1:23" ht="17.25" customHeight="1">
      <c r="A62" s="366" t="s">
        <v>369</v>
      </c>
      <c r="B62" s="367">
        <v>11778530</v>
      </c>
      <c r="C62" s="368">
        <v>98061</v>
      </c>
      <c r="D62" s="368">
        <v>11680469</v>
      </c>
      <c r="E62" s="368">
        <v>88128</v>
      </c>
      <c r="F62" s="369">
        <v>11044.984757020091</v>
      </c>
      <c r="G62" s="370">
        <v>0</v>
      </c>
      <c r="H62" s="370">
        <v>0</v>
      </c>
      <c r="I62" s="370">
        <v>0</v>
      </c>
      <c r="J62" s="369">
        <v>0</v>
      </c>
      <c r="K62" s="370">
        <v>0</v>
      </c>
      <c r="L62" s="370">
        <v>0</v>
      </c>
      <c r="M62" s="370">
        <v>0</v>
      </c>
      <c r="N62" s="369">
        <v>0</v>
      </c>
      <c r="O62" s="370">
        <v>0</v>
      </c>
      <c r="P62" s="370">
        <v>0</v>
      </c>
      <c r="Q62" s="370">
        <v>0</v>
      </c>
      <c r="R62" s="371">
        <v>0</v>
      </c>
      <c r="S62" s="372">
        <f t="shared" si="1"/>
        <v>58554703</v>
      </c>
      <c r="T62" s="367">
        <f>T59+T39</f>
        <v>882310</v>
      </c>
      <c r="U62" s="367">
        <v>57672393</v>
      </c>
      <c r="V62" s="367">
        <f>V59+V39</f>
        <v>228584</v>
      </c>
      <c r="W62" s="424">
        <f t="shared" si="3"/>
        <v>21025.236893220874</v>
      </c>
    </row>
    <row r="63" spans="1:23" ht="13.5" thickBot="1">
      <c r="A63" s="425"/>
      <c r="B63" s="426"/>
      <c r="C63" s="427"/>
      <c r="D63" s="427"/>
      <c r="E63" s="427"/>
      <c r="F63" s="428"/>
      <c r="G63" s="429"/>
      <c r="H63" s="429"/>
      <c r="I63" s="429"/>
      <c r="J63" s="428"/>
      <c r="K63" s="429"/>
      <c r="L63" s="429"/>
      <c r="M63" s="429"/>
      <c r="N63" s="428"/>
      <c r="O63" s="429"/>
      <c r="P63" s="429"/>
      <c r="Q63" s="429"/>
      <c r="R63" s="430"/>
      <c r="S63" s="431"/>
      <c r="T63" s="432"/>
      <c r="U63" s="432"/>
      <c r="V63" s="432"/>
      <c r="W63" s="433"/>
    </row>
    <row r="66" ht="12.75">
      <c r="U66" s="434"/>
    </row>
    <row r="67" ht="12" customHeight="1"/>
    <row r="68" ht="12.75" customHeight="1"/>
  </sheetData>
  <sheetProtection/>
  <mergeCells count="6">
    <mergeCell ref="B4:F4"/>
    <mergeCell ref="O4:R4"/>
    <mergeCell ref="S4:W4"/>
    <mergeCell ref="B5:F5"/>
    <mergeCell ref="O5:R5"/>
    <mergeCell ref="S5:W5"/>
  </mergeCells>
  <printOptions horizontalCentered="1"/>
  <pageMargins left="0.984251968503937" right="0.7874015748031497" top="0.984251968503937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&amp;R&amp;"Arial,Kurzíva"Kapitola A.&amp;"Arial,Obyčejné"
&amp;"Arial,Tučné"Tabulka č.4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20">
      <selection activeCell="D28" sqref="D28"/>
    </sheetView>
  </sheetViews>
  <sheetFormatPr defaultColWidth="9.140625" defaultRowHeight="12.75"/>
  <cols>
    <col min="1" max="1" width="36.57421875" style="2" customWidth="1"/>
    <col min="2" max="6" width="12.00390625" style="2" customWidth="1"/>
    <col min="7" max="7" width="10.8515625" style="2" customWidth="1"/>
    <col min="8" max="16384" width="9.140625" style="2" customWidth="1"/>
  </cols>
  <sheetData>
    <row r="1" ht="15.75">
      <c r="A1" s="1" t="s">
        <v>0</v>
      </c>
    </row>
    <row r="2" ht="12.75">
      <c r="A2" s="2" t="s">
        <v>1</v>
      </c>
    </row>
    <row r="3" ht="12.75">
      <c r="A3" s="2" t="s">
        <v>17</v>
      </c>
    </row>
    <row r="4" spans="1:11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18</v>
      </c>
      <c r="H4" s="4" t="s">
        <v>8</v>
      </c>
      <c r="I4" s="4" t="s">
        <v>9</v>
      </c>
      <c r="J4" s="4" t="s">
        <v>15</v>
      </c>
      <c r="K4" s="4" t="s">
        <v>22</v>
      </c>
    </row>
    <row r="5" spans="1:11" ht="12.75">
      <c r="A5" s="5" t="s">
        <v>371</v>
      </c>
      <c r="B5" s="7">
        <v>52.9</v>
      </c>
      <c r="C5" s="7">
        <v>58.3</v>
      </c>
      <c r="D5" s="7">
        <f>57.171+1.422</f>
        <v>58.592999999999996</v>
      </c>
      <c r="E5" s="7">
        <f>65.156+1.25</f>
        <v>66.406</v>
      </c>
      <c r="F5" s="7">
        <f>66.487+1.25</f>
        <v>67.737</v>
      </c>
      <c r="G5" s="7">
        <f>70.379+1.251</f>
        <v>71.63000000000001</v>
      </c>
      <c r="H5" s="7">
        <f>74.528+1.042</f>
        <v>75.57000000000001</v>
      </c>
      <c r="I5" s="7">
        <f>75.263+2.371+0.759-0.02-0.578</f>
        <v>77.795</v>
      </c>
      <c r="J5" s="7">
        <f>77.4+2.4</f>
        <v>79.80000000000001</v>
      </c>
      <c r="K5" s="7">
        <v>84.7</v>
      </c>
    </row>
    <row r="6" spans="1:11" ht="12.75">
      <c r="A6" s="5" t="s">
        <v>10</v>
      </c>
      <c r="B6" s="7">
        <v>10.642</v>
      </c>
      <c r="C6" s="7">
        <v>11.581</v>
      </c>
      <c r="D6" s="7">
        <v>13.716</v>
      </c>
      <c r="E6" s="7">
        <v>15.222</v>
      </c>
      <c r="F6" s="7">
        <v>17.974</v>
      </c>
      <c r="G6" s="7">
        <v>20.134</v>
      </c>
      <c r="H6" s="7">
        <v>22.213</v>
      </c>
      <c r="I6" s="7">
        <f>25.769-2.728</f>
        <v>23.040999999999997</v>
      </c>
      <c r="J6" s="7">
        <v>24.1</v>
      </c>
      <c r="K6" s="7">
        <v>24.6</v>
      </c>
    </row>
    <row r="7" spans="1:11" ht="12.75">
      <c r="A7" s="5" t="s">
        <v>372</v>
      </c>
      <c r="B7" s="7">
        <v>3.937</v>
      </c>
      <c r="C7" s="7">
        <v>4.014</v>
      </c>
      <c r="D7" s="7">
        <v>4.01</v>
      </c>
      <c r="E7" s="7">
        <v>4.982</v>
      </c>
      <c r="F7" s="7">
        <v>4.688</v>
      </c>
      <c r="G7" s="7">
        <v>5.478</v>
      </c>
      <c r="H7" s="7">
        <v>6.766</v>
      </c>
      <c r="I7" s="7">
        <f>9.766-2.033</f>
        <v>7.7330000000000005</v>
      </c>
      <c r="J7" s="7">
        <f>9.7-0.113-1.378</f>
        <v>8.209</v>
      </c>
      <c r="K7" s="7">
        <f>14.5-4.7</f>
        <v>9.8</v>
      </c>
    </row>
    <row r="8" spans="1:11" ht="12.75">
      <c r="A8" s="5" t="s">
        <v>370</v>
      </c>
      <c r="B8" s="7">
        <f aca="true" t="shared" si="0" ref="B8:I8">+B10-B5-B6-B7-B9</f>
        <v>3.3209999999999993</v>
      </c>
      <c r="C8" s="7">
        <f>+C10-C5-C6-C7-C9</f>
        <v>6.605000000000003</v>
      </c>
      <c r="D8" s="7">
        <f t="shared" si="0"/>
        <v>4.881000000000007</v>
      </c>
      <c r="E8" s="7">
        <f t="shared" si="0"/>
        <v>3.4899999999999887</v>
      </c>
      <c r="F8" s="7">
        <f t="shared" si="0"/>
        <v>3.5910000000000055</v>
      </c>
      <c r="G8" s="7">
        <f t="shared" si="0"/>
        <v>3.675999999999993</v>
      </c>
      <c r="H8" s="7">
        <f t="shared" si="0"/>
        <v>3.9189999999999974</v>
      </c>
      <c r="I8" s="7">
        <f t="shared" si="0"/>
        <v>6.575000000000004</v>
      </c>
      <c r="J8" s="7">
        <f>+J10-J5-J6-J7-J9</f>
        <v>6.50162699999999</v>
      </c>
      <c r="K8" s="7">
        <f>+K10-K5-K6-K7-K9</f>
        <v>5.163999999999984</v>
      </c>
    </row>
    <row r="9" spans="1:11" ht="12.75">
      <c r="A9" s="5" t="s">
        <v>21</v>
      </c>
      <c r="B9" s="6"/>
      <c r="C9" s="7"/>
      <c r="D9" s="7"/>
      <c r="E9" s="6"/>
      <c r="F9" s="6">
        <v>0.01</v>
      </c>
      <c r="G9" s="6">
        <v>0.282</v>
      </c>
      <c r="H9" s="6">
        <v>0.432</v>
      </c>
      <c r="I9" s="6">
        <v>6.556</v>
      </c>
      <c r="J9" s="26">
        <f>0.60061-0.011237</f>
        <v>0.5893729999999999</v>
      </c>
      <c r="K9" s="26">
        <v>10.436</v>
      </c>
    </row>
    <row r="10" spans="1:11" ht="12.75">
      <c r="A10" s="5" t="s">
        <v>16</v>
      </c>
      <c r="B10" s="7">
        <v>70.8</v>
      </c>
      <c r="C10" s="27">
        <v>80.5</v>
      </c>
      <c r="D10" s="6">
        <v>81.2</v>
      </c>
      <c r="E10" s="6">
        <v>90.1</v>
      </c>
      <c r="F10" s="7">
        <v>94</v>
      </c>
      <c r="G10" s="7">
        <v>101.2</v>
      </c>
      <c r="H10" s="7">
        <v>108.9</v>
      </c>
      <c r="I10" s="7">
        <v>121.7</v>
      </c>
      <c r="J10" s="7">
        <v>119.2</v>
      </c>
      <c r="K10" s="7">
        <v>134.7</v>
      </c>
    </row>
    <row r="16" s="8" customFormat="1" ht="12.75">
      <c r="A16" s="16" t="s">
        <v>7</v>
      </c>
    </row>
    <row r="17" spans="1:11" s="8" customFormat="1" ht="12.75">
      <c r="A17" s="9"/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18</v>
      </c>
      <c r="H17" s="4" t="s">
        <v>8</v>
      </c>
      <c r="I17" s="4" t="s">
        <v>9</v>
      </c>
      <c r="J17" s="4" t="s">
        <v>15</v>
      </c>
      <c r="K17" s="4" t="s">
        <v>22</v>
      </c>
    </row>
    <row r="18" spans="1:11" s="8" customFormat="1" ht="12.75">
      <c r="A18" s="9" t="s">
        <v>14</v>
      </c>
      <c r="B18" s="10">
        <v>13336</v>
      </c>
      <c r="C18" s="10">
        <v>15013</v>
      </c>
      <c r="D18" s="10">
        <v>16315</v>
      </c>
      <c r="E18" s="10">
        <v>18225</v>
      </c>
      <c r="F18" s="11">
        <v>19480</v>
      </c>
      <c r="G18" s="11">
        <v>20740</v>
      </c>
      <c r="H18" s="11">
        <v>21915</v>
      </c>
      <c r="I18" s="11">
        <v>23048</v>
      </c>
      <c r="J18" s="11">
        <v>23777</v>
      </c>
      <c r="K18" s="11">
        <v>25465</v>
      </c>
    </row>
    <row r="19" spans="1:11" s="8" customFormat="1" ht="12.75">
      <c r="A19" s="9" t="s">
        <v>374</v>
      </c>
      <c r="B19" s="12">
        <v>14029</v>
      </c>
      <c r="C19" s="12">
        <v>15248</v>
      </c>
      <c r="D19" s="12">
        <v>16363</v>
      </c>
      <c r="E19" s="10">
        <v>17443</v>
      </c>
      <c r="F19" s="10">
        <v>18583</v>
      </c>
      <c r="G19" s="11">
        <v>19584</v>
      </c>
      <c r="H19" s="25">
        <v>20844</v>
      </c>
      <c r="I19" s="25">
        <v>22382</v>
      </c>
      <c r="J19" s="11">
        <v>24282</v>
      </c>
      <c r="K19" s="11"/>
    </row>
    <row r="20" spans="1:11" s="8" customFormat="1" ht="12.75">
      <c r="A20" s="9" t="s">
        <v>375</v>
      </c>
      <c r="B20" s="12">
        <v>13457</v>
      </c>
      <c r="C20" s="12">
        <v>14733</v>
      </c>
      <c r="D20" s="12">
        <v>16197</v>
      </c>
      <c r="E20" s="10">
        <v>17692</v>
      </c>
      <c r="F20" s="10">
        <v>18713</v>
      </c>
      <c r="G20" s="11">
        <v>19876</v>
      </c>
      <c r="H20" s="25">
        <v>20975</v>
      </c>
      <c r="I20" s="25">
        <v>22387</v>
      </c>
      <c r="J20" s="11">
        <v>23337</v>
      </c>
      <c r="K20" s="11"/>
    </row>
    <row r="21" s="8" customFormat="1" ht="12.75"/>
    <row r="22" spans="1:15" s="8" customFormat="1" ht="12.75">
      <c r="A22" s="13"/>
      <c r="F22" s="14"/>
      <c r="K22" s="448" t="s">
        <v>373</v>
      </c>
      <c r="L22" s="449"/>
      <c r="M22" s="449"/>
      <c r="N22" s="449"/>
      <c r="O22" s="449"/>
    </row>
    <row r="23" spans="6:15" s="8" customFormat="1" ht="12.75">
      <c r="F23" s="15"/>
      <c r="K23" s="449"/>
      <c r="L23" s="449"/>
      <c r="M23" s="449"/>
      <c r="N23" s="449"/>
      <c r="O23" s="449"/>
    </row>
    <row r="24" spans="11:15" ht="12.75">
      <c r="K24" s="449"/>
      <c r="L24" s="449"/>
      <c r="M24" s="449"/>
      <c r="N24" s="449"/>
      <c r="O24" s="449"/>
    </row>
    <row r="26" spans="1:12" s="21" customFormat="1" ht="12.75">
      <c r="A26" s="20" t="s">
        <v>12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0" s="21" customFormat="1" ht="102">
      <c r="A27" s="28"/>
      <c r="B27" s="29" t="s">
        <v>285</v>
      </c>
      <c r="C27" s="29" t="s">
        <v>20</v>
      </c>
      <c r="D27" s="29" t="s">
        <v>382</v>
      </c>
      <c r="E27" s="29" t="s">
        <v>19</v>
      </c>
      <c r="F27" s="29" t="s">
        <v>286</v>
      </c>
      <c r="G27" s="29" t="s">
        <v>13</v>
      </c>
      <c r="H27" s="30" t="s">
        <v>11</v>
      </c>
      <c r="I27" s="19"/>
      <c r="J27" s="19"/>
    </row>
    <row r="28" spans="1:10" s="21" customFormat="1" ht="18" customHeight="1">
      <c r="A28" s="28" t="s">
        <v>23</v>
      </c>
      <c r="B28" s="22">
        <v>84.7</v>
      </c>
      <c r="C28" s="22">
        <v>24.6</v>
      </c>
      <c r="D28" s="22">
        <v>14.5</v>
      </c>
      <c r="E28" s="23">
        <f>1.9+0.2</f>
        <v>2.1</v>
      </c>
      <c r="F28" s="22">
        <v>6.8</v>
      </c>
      <c r="G28" s="22">
        <f>+H28-B28-C28-D28-E28-F28</f>
        <v>1.999999999999985</v>
      </c>
      <c r="H28" s="24">
        <v>134.7</v>
      </c>
      <c r="I28" s="19"/>
      <c r="J28" s="19"/>
    </row>
    <row r="29" spans="1:12" s="21" customFormat="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21" customFormat="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sheetProtection/>
  <mergeCells count="1">
    <mergeCell ref="K22:O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2009-05-20T08:52:53Z</cp:lastPrinted>
  <dcterms:created xsi:type="dcterms:W3CDTF">2005-03-22T09:56:29Z</dcterms:created>
  <dcterms:modified xsi:type="dcterms:W3CDTF">2009-05-20T08:53:53Z</dcterms:modified>
  <cp:category/>
  <cp:version/>
  <cp:contentType/>
  <cp:contentStatus/>
</cp:coreProperties>
</file>