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40" windowHeight="8115" tabRatio="807" activeTab="0"/>
  </bookViews>
  <sheets>
    <sheet name="Tab.1_Bilance" sheetId="1" r:id="rId1"/>
    <sheet name="Tab.2_ROZPOČET 2012" sheetId="2" r:id="rId2"/>
    <sheet name="Tab.3_A" sheetId="3" r:id="rId3"/>
    <sheet name="Tab.4_K" sheetId="4" r:id="rId4"/>
    <sheet name="Tab.5_VKM pro K" sheetId="5" r:id="rId5"/>
    <sheet name="Tab.6_C" sheetId="6" r:id="rId6"/>
    <sheet name="Tab.7_J" sheetId="7" r:id="rId7"/>
    <sheet name="Tab.8_U" sheetId="8" r:id="rId8"/>
    <sheet name=" Tab.9_U3V " sheetId="9" r:id="rId9"/>
    <sheet name="Tab.10_Studium SSP" sheetId="10" r:id="rId10"/>
    <sheet name="Tab.11_FRVŠ" sheetId="11" r:id="rId11"/>
  </sheets>
  <definedNames>
    <definedName name="_xlnm._FilterDatabase" localSheetId="2" hidden="1">'Tab.3_A'!$A$12:$N$180</definedName>
    <definedName name="_xlnm.Print_Titles" localSheetId="2">'Tab.3_A'!$12:$14</definedName>
    <definedName name="_xlnm.Print_Area" localSheetId="0">'Tab.1_Bilance'!$A$1:$N$63</definedName>
    <definedName name="_xlnm.Print_Area" localSheetId="2">'Tab.3_A'!$A$1:$N$223</definedName>
    <definedName name="_xlnm.Print_Area" localSheetId="3">'Tab.4_K'!$A$1:$BG$34</definedName>
    <definedName name="_xlnm.Print_Area" localSheetId="5">'Tab.6_C'!$A$1:$E$43</definedName>
    <definedName name="_xlnm.Print_Area" localSheetId="6">'Tab.7_J'!$A$1:$F$37</definedName>
    <definedName name="_xlnm.Print_Area" localSheetId="7">'Tab.8_U'!$A$1:$D$47</definedName>
    <definedName name="OLE_LINK6" localSheetId="10">'Tab.11_FRVŠ'!#REF!</definedName>
  </definedNames>
  <calcPr fullCalcOnLoad="1"/>
</workbook>
</file>

<file path=xl/comments1.xml><?xml version="1.0" encoding="utf-8"?>
<comments xmlns="http://schemas.openxmlformats.org/spreadsheetml/2006/main">
  <authors>
    <author>Pospíšilová Lenka</author>
  </authors>
  <commentList>
    <comment ref="D46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Podpora tvůrčích činností, které VVŠ umí definovat, ale nejsou zatím součástí kritérií hodnocení v rámci ukazatele K. </t>
        </r>
      </text>
    </comment>
    <comment ref="A6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části rozpočtu v ukazateli A a normativního počtu studentů.</t>
        </r>
      </text>
    </comment>
    <comment ref="A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Podíl institucionální části rozpočtu a počtu normativních studentů; v roce 2012: (A+K)/norm. počet studentů.</t>
        </r>
      </text>
    </comment>
    <comment ref="I5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Výpočtové stipendium pro 1 studenta doktorského studijního programu (rok 2008 i r. 2009 88775 Kč, v roce 2010 zvýšení o 5,2% na 93 380 Kč)</t>
        </r>
      </text>
    </comment>
    <comment ref="I6" authorId="0">
      <text>
        <r>
          <rPr>
            <b/>
            <sz val="10"/>
            <rFont val="Tahoma"/>
            <family val="2"/>
          </rPr>
          <t>Pospíšilová Lenka:</t>
        </r>
        <r>
          <rPr>
            <sz val="10"/>
            <rFont val="Tahoma"/>
            <family val="2"/>
          </rPr>
          <t xml:space="preserve">
(r. 2006 - 6395 Kč, r.2007 - 6500 Kč, r. 2008 - 6500 Kč, r. 2009 - 6500 Kč)</t>
        </r>
      </text>
    </comment>
    <comment ref="I7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(§91 odst. 3 zákona č. 111/1998 Sb., o vysokých školách), přiznává se na 10 měs. v roce</t>
        </r>
      </text>
    </comment>
    <comment ref="I8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(r. 2007, r. 2008 i r. 2009 - 23 Kč)</t>
        </r>
      </text>
    </comment>
  </commentList>
</comments>
</file>

<file path=xl/comments4.xml><?xml version="1.0" encoding="utf-8"?>
<comments xmlns="http://schemas.openxmlformats.org/spreadsheetml/2006/main">
  <authors>
    <author>Pospíšilová Lenka</author>
  </authors>
  <commentList>
    <comment ref="E5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Součet výsledků RUV za 3 roky: 2008, 2009, 2010</t>
        </r>
      </text>
    </comment>
    <comment ref="C64" authorId="0">
      <text>
        <r>
          <rPr>
            <b/>
            <sz val="8"/>
            <rFont val="Tahoma"/>
            <family val="2"/>
          </rPr>
          <t>Pospíšilová Lenka:</t>
        </r>
        <r>
          <rPr>
            <sz val="8"/>
            <rFont val="Tahoma"/>
            <family val="2"/>
          </rPr>
          <t xml:space="preserve">
použité údaje jsou za období 2005-2009, zveřejněné v lednu 2011 (zpracovávané v roce 2010).</t>
        </r>
      </text>
    </comment>
  </commentList>
</comments>
</file>

<file path=xl/sharedStrings.xml><?xml version="1.0" encoding="utf-8"?>
<sst xmlns="http://schemas.openxmlformats.org/spreadsheetml/2006/main" count="1132" uniqueCount="401">
  <si>
    <t>(nezahrnuje dotace na programy reprodukce majetku; prostředky určené na programy spolufinancované s EU jsou na konci tabulky odečteny)</t>
  </si>
  <si>
    <t>Poznámka:</t>
  </si>
  <si>
    <t>Položka</t>
  </si>
  <si>
    <t>Rok 2010</t>
  </si>
  <si>
    <t>Rok 2011</t>
  </si>
  <si>
    <t>2012 odhad</t>
  </si>
  <si>
    <t>%</t>
  </si>
  <si>
    <t>Rok 2012 odhad</t>
  </si>
  <si>
    <t>Rozdíl v %</t>
  </si>
  <si>
    <t>Základní normativ</t>
  </si>
  <si>
    <t xml:space="preserve">Normativ absolventa </t>
  </si>
  <si>
    <t>x</t>
  </si>
  <si>
    <t>Příspěvek *)</t>
  </si>
  <si>
    <t>Dotace *)</t>
  </si>
  <si>
    <t>Název ukazatele / položky</t>
  </si>
  <si>
    <t>P</t>
  </si>
  <si>
    <t>Ukazatel A+B1 - studijní programy</t>
  </si>
  <si>
    <t xml:space="preserve">Ukazatel B 2 - studijní programy, bonifikace za absolventy B,M,N,P 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</si>
  <si>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</si>
  <si>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</si>
  <si>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</si>
  <si>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</si>
  <si>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</si>
  <si>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</si>
  <si>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</si>
  <si>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</si>
  <si>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</si>
  <si>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</si>
  <si>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</si>
  <si>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</si>
  <si>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</si>
  <si>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Celkem rozvoj vysokých škol</t>
  </si>
  <si>
    <t>Rozpočtový okruh IV, Mezinárodní spolupráce a ostatní</t>
  </si>
  <si>
    <t>Ukazatel D - zahraniční studenti, mezinár. spolupráce</t>
  </si>
  <si>
    <t>V tom:</t>
  </si>
  <si>
    <t>AKCION</t>
  </si>
  <si>
    <t>CEEPUS</t>
  </si>
  <si>
    <t>ERASMUS</t>
  </si>
  <si>
    <t>Letní školy slovanských studií</t>
  </si>
  <si>
    <t>Zahraniční rozvoj. pomoc</t>
  </si>
  <si>
    <t>Ukazatel F - Fond vzdělávací politiky</t>
  </si>
  <si>
    <t>Nové VVŠ (nefinancované dosud zcela nebo zčásti z Ukazatele A)</t>
  </si>
  <si>
    <t>Soukromé VŠ</t>
  </si>
  <si>
    <t>Univerzita obrany</t>
  </si>
  <si>
    <t>Tlumočnické služby pro neslyšící</t>
  </si>
  <si>
    <t>Závěry Melkského procesu k JETE</t>
  </si>
  <si>
    <t>Univerzita třetího věku (U3V)</t>
  </si>
  <si>
    <t>Studium studentů se specifickými potřebami</t>
  </si>
  <si>
    <t>Genofondy - odborná praxe na škol. zeměděl. nebo lesních statcích</t>
  </si>
  <si>
    <t xml:space="preserve">Ostatní </t>
  </si>
  <si>
    <t>Ukazatel M - mimořádné aktivity</t>
  </si>
  <si>
    <t>Celkem Mezinárodní spolupráce a ostatní</t>
  </si>
  <si>
    <r>
      <t xml:space="preserve">Celkem příspěvek + dotace </t>
    </r>
  </si>
  <si>
    <t>Prostředky přidělené sekci 4 pro účely spolufinancování programu VaVpI</t>
  </si>
  <si>
    <t>Ukazatel rozpočtu vysokých škol</t>
  </si>
  <si>
    <t>Rozdíl</t>
  </si>
  <si>
    <t>*) V některých ukazatelích může být poskytnut příspěvek nebo dotace v závislosti na účelu, na který se poskytuje.</t>
  </si>
  <si>
    <t>Veřejné vysoké školy</t>
  </si>
  <si>
    <t>Mezinárodní mobilita</t>
  </si>
  <si>
    <r>
      <t xml:space="preserve">Započítané body RIV (absolutně) + </t>
    </r>
    <r>
      <rPr>
        <b/>
        <u val="single"/>
        <sz val="8"/>
        <rFont val="Arial"/>
        <family val="2"/>
      </rPr>
      <t>bez komp.</t>
    </r>
    <r>
      <rPr>
        <b/>
        <sz val="8"/>
        <rFont val="Arial"/>
        <family val="2"/>
      </rPr>
      <t xml:space="preserve"> pro uměl. VŠ</t>
    </r>
  </si>
  <si>
    <t>Započítané body RUV</t>
  </si>
  <si>
    <t>Účelové neinvestiční prostředky na výzkum</t>
  </si>
  <si>
    <t>Příjmy z vlastní činnosti VVŠ</t>
  </si>
  <si>
    <t>Vážený počet profesorů a docentů</t>
  </si>
  <si>
    <t>Cizinci v příslušném typu studijního programu</t>
  </si>
  <si>
    <t>„Samoplátci“ v příslušném typu studijního programu</t>
  </si>
  <si>
    <t>Vyslaní v rámci mobilitních programů 
(včetně ECTS a DS)</t>
  </si>
  <si>
    <t>Přijatí v rámci mobilitních programů 
(včetně ECTS a DS)</t>
  </si>
  <si>
    <t>Profesoři</t>
  </si>
  <si>
    <t>Docenti</t>
  </si>
  <si>
    <t>Index</t>
  </si>
  <si>
    <t>Celkem</t>
  </si>
  <si>
    <t>Bakalářské</t>
  </si>
  <si>
    <t>Magisterské</t>
  </si>
  <si>
    <t>Doktorandi</t>
  </si>
  <si>
    <t>Bakalářském</t>
  </si>
  <si>
    <t>Magisterském</t>
  </si>
  <si>
    <t>Doktorském</t>
  </si>
  <si>
    <t>Váhy parametrů</t>
  </si>
  <si>
    <t>VVŠ celkem</t>
  </si>
  <si>
    <t xml:space="preserve">UK </t>
  </si>
  <si>
    <t>JU</t>
  </si>
  <si>
    <t xml:space="preserve">UJEP </t>
  </si>
  <si>
    <t>MU</t>
  </si>
  <si>
    <t>UP</t>
  </si>
  <si>
    <t>VFU Brno</t>
  </si>
  <si>
    <t>OU</t>
  </si>
  <si>
    <t>UHK</t>
  </si>
  <si>
    <t>SU</t>
  </si>
  <si>
    <t>ČVUT</t>
  </si>
  <si>
    <t>VŠCHT Praha</t>
  </si>
  <si>
    <t>ZČU</t>
  </si>
  <si>
    <t>TUL</t>
  </si>
  <si>
    <t>UPa</t>
  </si>
  <si>
    <t>VUT v Brně</t>
  </si>
  <si>
    <t>VŠB-TUO</t>
  </si>
  <si>
    <t>UTB ve Zlíně</t>
  </si>
  <si>
    <t>VŠE</t>
  </si>
  <si>
    <t>ČZU v Praze</t>
  </si>
  <si>
    <t>MENDELU</t>
  </si>
  <si>
    <t>AMU v Praze</t>
  </si>
  <si>
    <t>AVU v Praze</t>
  </si>
  <si>
    <t>VŠUP v Praze</t>
  </si>
  <si>
    <t>JAMU</t>
  </si>
  <si>
    <t>VŠP Jihlava</t>
  </si>
  <si>
    <t>VŠTE</t>
  </si>
  <si>
    <t>2010</t>
  </si>
  <si>
    <t>2009</t>
  </si>
  <si>
    <t>2008</t>
  </si>
  <si>
    <t>Ukazatel K: Kvalitativní a výkonové ukazatele vysokých škol</t>
  </si>
  <si>
    <t>v tis. Kč</t>
  </si>
  <si>
    <t>Započítané body RIV (absolutně)</t>
  </si>
  <si>
    <t>Zaměstnanost absolventů (absolutní)</t>
  </si>
  <si>
    <t>Mezinárodní mobilita a internacionalizace</t>
  </si>
  <si>
    <t>Cizinci v příslušném typu studijního programu (bakalářském, magisterském, doktorském)</t>
  </si>
  <si>
    <t>„Samoplátci“ v příslušném typu studijního programu (bakalářském, magisterském, doktorském)</t>
  </si>
  <si>
    <t>Vyslaní v rámci mobilitních programů</t>
  </si>
  <si>
    <t>Přijatí v rámci mobilitních programů</t>
  </si>
  <si>
    <t>VŠ</t>
  </si>
  <si>
    <t>celkový počet vydaných jídel v menzách VŠ</t>
  </si>
  <si>
    <t>dotace</t>
  </si>
  <si>
    <t>teplých</t>
  </si>
  <si>
    <t>studených</t>
  </si>
  <si>
    <t>stud. přepočt.</t>
  </si>
  <si>
    <t>celkem tep. + st. přep.</t>
  </si>
  <si>
    <t>UK</t>
  </si>
  <si>
    <t>UJEP</t>
  </si>
  <si>
    <t>UPOL</t>
  </si>
  <si>
    <t>VFU</t>
  </si>
  <si>
    <t>VŠCHT</t>
  </si>
  <si>
    <t>ZU</t>
  </si>
  <si>
    <t>UPAR</t>
  </si>
  <si>
    <t>VUT</t>
  </si>
  <si>
    <t>TUO</t>
  </si>
  <si>
    <t>UTB</t>
  </si>
  <si>
    <t>ČZU</t>
  </si>
  <si>
    <t>AMU</t>
  </si>
  <si>
    <t>AVU</t>
  </si>
  <si>
    <t>VŠUP</t>
  </si>
  <si>
    <t>VŠPJ</t>
  </si>
  <si>
    <t>Normativ na jedno hlavní jídlo (v Kč)</t>
  </si>
  <si>
    <t>Roční příspěvek na stravování v Kč před zaokrouhlením</t>
  </si>
  <si>
    <t>Roční příspěvek na stravování (v tis. Kč)</t>
  </si>
  <si>
    <t>Počet studentů v DSPSP</t>
  </si>
  <si>
    <t>Univerzita Karlova v Praze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</si>
  <si>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</si>
  <si>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</si>
  <si>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</si>
  <si>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</si>
  <si>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</si>
  <si>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Ostravská univerzita v Ostravě</t>
  </si>
  <si>
    <t>Univerzita Hradec Králové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</si>
  <si>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</si>
  <si>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</si>
  <si>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</si>
  <si>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</si>
  <si>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</si>
  <si>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</si>
  <si>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</si>
  <si>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</si>
  <si>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</si>
  <si>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</si>
  <si>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</si>
  <si>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</si>
  <si>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</si>
  <si>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</si>
  <si>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</si>
  <si>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múzických umění v Brně</t>
  </si>
  <si>
    <t>Vysoká škola polytechnická Jihlava</t>
  </si>
  <si>
    <t>Vysoká škola technická a ekonomická v Českých Budějovicích</t>
  </si>
  <si>
    <t>Rok</t>
  </si>
  <si>
    <t>Jednotková roční výpočtová částka na jedno stipendium činí (Kč)</t>
  </si>
  <si>
    <t>Meziroční změna v počtu studentů</t>
  </si>
  <si>
    <t>Roční výpočtová částka (tis. Kč)</t>
  </si>
  <si>
    <t>Meziroční změna ve výpočtové částce</t>
  </si>
  <si>
    <t>Kód VŠ</t>
  </si>
  <si>
    <t>Název VŠ</t>
  </si>
  <si>
    <t>Počet stud. v DSPSP</t>
  </si>
  <si>
    <t>Výstup ze SIMS podle stavu k 31. 10. 2011</t>
  </si>
  <si>
    <t>Výpočtová částka (tis. Kč)</t>
  </si>
  <si>
    <t>Počet nároků VVŠ</t>
  </si>
  <si>
    <t>Počet nároků SVŠ (odhad)</t>
  </si>
  <si>
    <t>Součet</t>
  </si>
  <si>
    <t>VVŠ (tis. Kč)</t>
  </si>
  <si>
    <t>SVŠ (tis. Kč)</t>
  </si>
  <si>
    <t>Kód VVŠ</t>
  </si>
  <si>
    <t>Počet studentů</t>
  </si>
  <si>
    <t>tis. Kč</t>
  </si>
  <si>
    <t>Výstup SIMS k 31.10.2011</t>
  </si>
  <si>
    <t xml:space="preserve">Částka určená v rozpočtu </t>
  </si>
  <si>
    <t>2011</t>
  </si>
  <si>
    <r>
      <t xml:space="preserve">Zaměstnanost absolventů (absolutní), </t>
    </r>
    <r>
      <rPr>
        <b/>
        <u val="single"/>
        <sz val="8"/>
        <rFont val="Arial"/>
        <family val="2"/>
      </rPr>
      <t>včetně</t>
    </r>
    <r>
      <rPr>
        <b/>
        <sz val="8"/>
        <rFont val="Arial"/>
        <family val="2"/>
      </rPr>
      <t xml:space="preserve"> KEN</t>
    </r>
  </si>
  <si>
    <t>Jednotková sazba</t>
  </si>
  <si>
    <t>Ukazatel K (dříve B3) - kvalita a výkon</t>
  </si>
  <si>
    <t>Ukazatel A, výpočet na rok 2012</t>
  </si>
  <si>
    <t>Data podle SIMS ke dni 31.10.2011.</t>
  </si>
  <si>
    <t>Kategorie:</t>
  </si>
  <si>
    <t>B1</t>
  </si>
  <si>
    <t>bakalářská studia, první rok studia</t>
  </si>
  <si>
    <t>Počty přepočtených studentů magisterských studijních programů M5104 Stomatologie a M5111 Zubní lékařství, P5155 Stomatologie a zubní lékařství, které nejsou limitovány, jsou uvedeny v samostatné tabulce dole.</t>
  </si>
  <si>
    <t>M1</t>
  </si>
  <si>
    <t>magisterská studia pěti až šestiletá první, rok studia</t>
  </si>
  <si>
    <t>N1</t>
  </si>
  <si>
    <t>magisterská studia navazující na bakalářská studia, první rok studia</t>
  </si>
  <si>
    <t>P1</t>
  </si>
  <si>
    <t>doktorská studia, první rok studia</t>
  </si>
  <si>
    <t>SP2+</t>
  </si>
  <si>
    <t>všechny typy studia, druhé a další roky studia</t>
  </si>
  <si>
    <t>Kategorie</t>
  </si>
  <si>
    <t>Skutečný počet přepočt. studentů k 31. 10. 201 bez stud. programů 5104, 5111 a 5155</t>
  </si>
  <si>
    <t>Výsledek projednání - akceptovaný/ dohodnutý počet pro rok 2012 bez stud. programů 5104, 5111 a 5155</t>
  </si>
  <si>
    <t xml:space="preserve">Započtený počet přepočtených studentů bez SP 5104, 5111 a 5155 </t>
  </si>
  <si>
    <t>Stud. programy 5104, 5111 a 5155</t>
  </si>
  <si>
    <t>Započtený počet přepočt. studentů vč. 5104, 5111 a 5155</t>
  </si>
  <si>
    <t>Průměrný koef. ekon. náročnosti ke sl. 5</t>
  </si>
  <si>
    <t>Počet normativních studentů ke sl. 5</t>
  </si>
  <si>
    <t>Počet normativních studentů programů 5104, 5111 a 5155</t>
  </si>
  <si>
    <t>Počet normativních studentů celkem</t>
  </si>
  <si>
    <t>Částka na jednu VVŠ v tis. Kč</t>
  </si>
  <si>
    <t>Počet nevyužitých míst do limitu</t>
  </si>
  <si>
    <t>Počet nadlimitních přepočt. studentů</t>
  </si>
  <si>
    <t>UK Praha</t>
  </si>
  <si>
    <t>SUMA: B1</t>
  </si>
  <si>
    <t>SUMA: M1</t>
  </si>
  <si>
    <t>SUMA: N1</t>
  </si>
  <si>
    <t>SUMA: P1</t>
  </si>
  <si>
    <t>SUMA: SP2+</t>
  </si>
  <si>
    <t>JU České Budějovice</t>
  </si>
  <si>
    <t>JU Č.B.</t>
  </si>
  <si>
    <t>UJEP Ústí nad Labem</t>
  </si>
  <si>
    <t>UJEP Ústí n.L.</t>
  </si>
  <si>
    <t>MU Brno</t>
  </si>
  <si>
    <t>UP Olomouc</t>
  </si>
  <si>
    <t>OU Ostrava</t>
  </si>
  <si>
    <t>Univerzita Hr. Král.</t>
  </si>
  <si>
    <t>SU Opava</t>
  </si>
  <si>
    <t>ČVUT Praha</t>
  </si>
  <si>
    <t>ČVUT Praha *)</t>
  </si>
  <si>
    <t>ZČU Plzeň</t>
  </si>
  <si>
    <t>TU Liberec</t>
  </si>
  <si>
    <t>UPa Pardubice</t>
  </si>
  <si>
    <t>VUT Brno</t>
  </si>
  <si>
    <t>VŠB-TU Ostrava</t>
  </si>
  <si>
    <t>UTB Zlín</t>
  </si>
  <si>
    <t>VŠE Praha</t>
  </si>
  <si>
    <t>ČZU Praha</t>
  </si>
  <si>
    <t>Mendelu Brno</t>
  </si>
  <si>
    <t>MZLU Brno</t>
  </si>
  <si>
    <t>AMU Praha</t>
  </si>
  <si>
    <t>AVU Praha</t>
  </si>
  <si>
    <t>JAMU Brno</t>
  </si>
  <si>
    <t>VŠ polytech. Jihlava **)</t>
  </si>
  <si>
    <t>VŠ polytech. Jihlava</t>
  </si>
  <si>
    <t>VŠTE Č. Budějovice **)</t>
  </si>
  <si>
    <t>VŠTE Č. B.</t>
  </si>
  <si>
    <t>VŠTE Č. Budějovice</t>
  </si>
  <si>
    <t>Souhrn</t>
  </si>
  <si>
    <t>Souhrnné údaje</t>
  </si>
  <si>
    <t>Počet všech přepočtených studentů</t>
  </si>
  <si>
    <t>Celkem počet norm. stud.(bez UO)</t>
  </si>
  <si>
    <t>Stud. programy M5104, M5111 a 5155 - počet přepočtených studentů</t>
  </si>
  <si>
    <t>Počet přepočtených studentů zahrnutých do výpočtu</t>
  </si>
  <si>
    <t>Meziroční nárůst přepočtených studentů zahrnutých do výpočtu</t>
  </si>
  <si>
    <t>Počet normativních studentů</t>
  </si>
  <si>
    <t>Celková výpočtová částka před zaokrouhlením</t>
  </si>
  <si>
    <t>Průměrný koeficient ekonomické náročnosti</t>
  </si>
  <si>
    <t>Ukazatel A+K</t>
  </si>
  <si>
    <t>Průměrný normativ (ukaz. A+K ku počtu normativních studentů)</t>
  </si>
  <si>
    <t>Studijní programy 5104 Stomatologie, 5111 Zubní lékařství a 5155 Stomatologie a zubní lékařství</t>
  </si>
  <si>
    <t>Kód fakulty</t>
  </si>
  <si>
    <t>Název fakulty</t>
  </si>
  <si>
    <t>Nově přijatí</t>
  </si>
  <si>
    <t>Zvláštní</t>
  </si>
  <si>
    <t>Ostatní</t>
  </si>
  <si>
    <t>Půlroční</t>
  </si>
  <si>
    <t>Přepočtený počet studentů</t>
  </si>
  <si>
    <t>Normativní počet studentů</t>
  </si>
  <si>
    <t>UK v Praze</t>
  </si>
  <si>
    <t>1. lékařská fakulta</t>
  </si>
  <si>
    <t>Lékařská fakulta v Plzni</t>
  </si>
  <si>
    <t>Lékařská fakulta v Hradci Králové</t>
  </si>
  <si>
    <t>Lékařská fakulta</t>
  </si>
  <si>
    <t>UP v Olomouci</t>
  </si>
  <si>
    <t>Celkem všichni</t>
  </si>
  <si>
    <t>kontrola</t>
  </si>
  <si>
    <t>Ukaz. A</t>
  </si>
  <si>
    <t>VVŠ</t>
  </si>
  <si>
    <t>% podíl v rámci ukazatele K</t>
  </si>
  <si>
    <t>Ukaz. K</t>
  </si>
  <si>
    <t>% podíl v rámci ukazatele A</t>
  </si>
  <si>
    <t>Ukazatel K - 20 %</t>
  </si>
  <si>
    <t>Ukazatel A - váha 80 %</t>
  </si>
  <si>
    <t>% podíl z celku</t>
  </si>
  <si>
    <r>
      <t xml:space="preserve">Rozpočet 2010 
</t>
    </r>
    <r>
      <rPr>
        <sz val="11"/>
        <rFont val="Arial"/>
        <family val="2"/>
      </rPr>
      <t>(+ 800 mil. Kč)</t>
    </r>
  </si>
  <si>
    <r>
      <t xml:space="preserve">Rozpočet 2011 
</t>
    </r>
    <r>
      <rPr>
        <sz val="11"/>
        <rFont val="Arial"/>
        <family val="2"/>
      </rPr>
      <t>(+ 1000 mil. Kč)</t>
    </r>
  </si>
  <si>
    <t>tis. Kč pro 
1. čtvrtletí 2012</t>
  </si>
  <si>
    <t>Rozpočet 2012</t>
  </si>
  <si>
    <r>
      <t xml:space="preserve">% podíl z celku </t>
    </r>
    <r>
      <rPr>
        <i/>
        <sz val="11"/>
        <color indexed="23"/>
        <rFont val="Arial"/>
        <family val="2"/>
      </rPr>
      <t>(sl. 6)</t>
    </r>
  </si>
  <si>
    <r>
      <t xml:space="preserve">Meziroční vývoj 
</t>
    </r>
    <r>
      <rPr>
        <i/>
        <sz val="11"/>
        <color indexed="23"/>
        <rFont val="Arial"/>
        <family val="2"/>
      </rPr>
      <t>(sl. 6 vs 3)</t>
    </r>
  </si>
  <si>
    <r>
      <t xml:space="preserve">% podíl z celku </t>
    </r>
    <r>
      <rPr>
        <i/>
        <sz val="11"/>
        <color indexed="23"/>
        <rFont val="Arial"/>
        <family val="2"/>
      </rPr>
      <t>(sl. 3)</t>
    </r>
  </si>
  <si>
    <r>
      <t xml:space="preserve">Meziroční vývoj 
</t>
    </r>
    <r>
      <rPr>
        <i/>
        <sz val="11"/>
        <color indexed="23"/>
        <rFont val="Arial"/>
        <family val="2"/>
      </rPr>
      <t>(sl. 3 vs 2)</t>
    </r>
  </si>
  <si>
    <t>Vědecký a umělecký výkon vysoké školy</t>
  </si>
  <si>
    <t>Kvalita studijních programů a uplatnění absolventů</t>
  </si>
  <si>
    <t>Podíl na K 
(v tis. Kč)</t>
  </si>
  <si>
    <t>Podíl na K 
(v%)</t>
  </si>
  <si>
    <t>Ukazatel K, výpočet na rok 2012</t>
  </si>
  <si>
    <t>Vlastní příjmy</t>
  </si>
  <si>
    <t>Podpora tvůrčích činností</t>
  </si>
  <si>
    <t>A  (tis. Kč) =</t>
  </si>
  <si>
    <t>Průměrný normativ</t>
  </si>
  <si>
    <t xml:space="preserve">Výpočtové ubytovací stipendium na 1 studenta </t>
  </si>
  <si>
    <t>Měsíční sociální stipendium</t>
  </si>
  <si>
    <t>Výpočtová dotace na 1  jídlo</t>
  </si>
  <si>
    <t>Výpočtové stipendium v doktorském studiu</t>
  </si>
  <si>
    <t>Počet profesorů a docentů</t>
  </si>
  <si>
    <t xml:space="preserve">Váhy jednotlivých kritérií kvality a výkonu v rámci ukazatele K </t>
  </si>
  <si>
    <t>Zdroj: Zásady a pravidla financování veřejných vysokých škol pro rok 2012, 9.11.2011</t>
  </si>
  <si>
    <t xml:space="preserve"> </t>
  </si>
  <si>
    <t>11000</t>
  </si>
  <si>
    <t>12000</t>
  </si>
  <si>
    <t>13000</t>
  </si>
  <si>
    <t>Univerzita J. E. Purkyně v Ústí nad Labem</t>
  </si>
  <si>
    <t xml:space="preserve"> ---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</si>
  <si>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</si>
  <si>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</si>
  <si>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</si>
  <si>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</si>
  <si>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</si>
  <si>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</si>
  <si>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</si>
  <si>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</si>
  <si>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</si>
  <si>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</si>
  <si>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</si>
  <si>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</si>
  <si>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</si>
  <si>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</si>
  <si>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31000</t>
  </si>
  <si>
    <t>41000</t>
  </si>
  <si>
    <t>43000</t>
  </si>
  <si>
    <t>51000</t>
  </si>
  <si>
    <t>52000</t>
  </si>
  <si>
    <t>53000</t>
  </si>
  <si>
    <t>54000</t>
  </si>
  <si>
    <t>Janáčkova akademie múz umění v Brně</t>
  </si>
  <si>
    <t>55000</t>
  </si>
  <si>
    <t>56000</t>
  </si>
  <si>
    <t>Název VVŠ</t>
  </si>
  <si>
    <t>OPRAVA</t>
  </si>
  <si>
    <t>PO OPRAVĚ</t>
  </si>
  <si>
    <t>Podle dopisu NM č. j. 28317/2011-33 byl VFU zvýšen limit počtu v kat. M1 o 21 studií a snížen limit v kat. N1 o tutéž hodnotu.</t>
  </si>
  <si>
    <t>Podle dopisu NM č. j. 37813/2011-33 byl SU zvýšen limit počtu v kat. B1 o 1,5 studií a snížen limit v kat. M1 o tutéž hodnotu.</t>
  </si>
  <si>
    <t>Na žádost MENDELU č. j. 25383/2011-921 ze dne 30.11.2011 byl snížen skutečný počet přepočtených studentů v kat. P1 o 12 studií. Viz dopis vedoucí SOD 33 č. j. 39571/2011-33</t>
  </si>
  <si>
    <t xml:space="preserve">Na žádost UK č. j. 11858/2011-II snížen skutečný přepočtený počet studentů ve stud. programu M5111 Zubní lékařství v kategorii M1 o 18. </t>
  </si>
  <si>
    <t>Celková částka podle rozpisu rozpočtu (tis. Kč)</t>
  </si>
  <si>
    <t>Jednotková částka na jednu studentohodinu (Kč)</t>
  </si>
  <si>
    <t>Výpočtová částka před zaokrouhlením (tis. Kč)</t>
  </si>
  <si>
    <t>Upravený nárok</t>
  </si>
  <si>
    <t>Příspěvek na U3V    v r. 2012 (tis. Kč)</t>
  </si>
  <si>
    <t>Počet účastníků U3V</t>
  </si>
  <si>
    <t>Počet studento- hodin</t>
  </si>
  <si>
    <t>Vysoká škola chem.-technologická v Praze</t>
  </si>
  <si>
    <t>Vysoká škola báňská - TU Ostrava</t>
  </si>
  <si>
    <t>Vysoká škola techn. a ekonomická v Č. B.</t>
  </si>
  <si>
    <t>Celková částka vyčleněná na studium SSP (tis. Kč)</t>
  </si>
  <si>
    <t>Rozsah vykrytí kalkulovaných zvýšených nákladů (%)</t>
  </si>
  <si>
    <t>Počet studentů    se SP</t>
  </si>
  <si>
    <t>Kalkulované zvýšené náklady (Kč)</t>
  </si>
  <si>
    <t>Janáčkova akademie múz. umění v Brně</t>
  </si>
  <si>
    <t>Rozdělení</t>
  </si>
  <si>
    <t xml:space="preserve">ukazatel G </t>
  </si>
  <si>
    <t>ARVŠ 1,8%</t>
  </si>
  <si>
    <t xml:space="preserve">projekty </t>
  </si>
  <si>
    <t>1.kolo</t>
  </si>
  <si>
    <t>2.kolo</t>
  </si>
  <si>
    <t>Temat. okruh A (93 b.)</t>
  </si>
  <si>
    <t>Temat. okruhy  E,F,G</t>
  </si>
  <si>
    <t>Vysoká škola</t>
  </si>
  <si>
    <t>dotace IV</t>
  </si>
  <si>
    <t>počet projektů</t>
  </si>
  <si>
    <t>dotace NIV</t>
  </si>
  <si>
    <t>dotace celkem</t>
  </si>
  <si>
    <t>projekty celkem</t>
  </si>
  <si>
    <t>Univerzita Karlova v Praze *)</t>
  </si>
  <si>
    <t>Vysoká škola technická a ekonomická v Č. B.</t>
  </si>
  <si>
    <t>2.kolo výb. řízení</t>
  </si>
  <si>
    <t>Ukazatel F - podpora financování zvýšených nákladů souvisejících se studiem studentů se specifickými potřebami</t>
  </si>
  <si>
    <t>Ukazatel F - podpora financování nákladů souvisejících se vzděláváním seniorů prostřednictvím tzv. Univerzit třetího věku</t>
  </si>
  <si>
    <t>Soukromé vysoké školy</t>
  </si>
  <si>
    <t>Počet studentů s nárokem na ubytovací stipendium závisí na údaji uvedeném v SIMS (k 31.10.2011 je to 11 728), který je generován automaticky dle zadaných parametrů, a dále na faktu, kolik studentů o stipendium skutečně požádá svoji vysokou školu. S ohledem na zkušenosti z předchozích let, kdy žádosti o stipendium podané soukromou vysokou školou dosahovaly cca 91% údajů v SIMS, byl i údaj pro rok 2012 v této míře upraven. Částka alokovaná na ubytovací stipendia pro studenty soukromých vysokých škol v roce 2012 je ve výši 57 282 tis. Kč.</t>
  </si>
  <si>
    <t>Ukazatel U - ubytovací stipendium na rok 2012</t>
  </si>
  <si>
    <t>Ukazatel J - dotace na ubytování a stravování studentů 2012</t>
  </si>
  <si>
    <t>Ukazatel C - stipendia pro doktorandy v roce 2012</t>
  </si>
  <si>
    <t>Ukazatel G - fond rozvoje vysokých škol (FRVŠ)</t>
  </si>
  <si>
    <t>Rozpočtový okruh 1, institucionální část rozpočtu</t>
  </si>
  <si>
    <r>
      <rPr>
        <b/>
        <sz val="14"/>
        <color indexed="8"/>
        <rFont val="Arial"/>
        <family val="2"/>
      </rPr>
      <t>Rok 2012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(návrh rozpočtu 2012 - institucionální část)</t>
    </r>
  </si>
  <si>
    <t>Meziroční změna v roční výpočtové částce na jedno stipendium</t>
  </si>
  <si>
    <t>Příspěvek na studium SSP    v r. 2012 
(tis. Kč)</t>
  </si>
  <si>
    <t>Zahraniční studenti (mezinárodní dohody)</t>
  </si>
  <si>
    <t>Cestovní náhrady</t>
  </si>
  <si>
    <t>Bilance zdrojů pro rozdělení příspěvku a dotací vysokým školám v r. 2012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</si>
</sst>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_ ;[Red]\-#,##0\ ;\–\ "/>
    <numFmt numFmtId="168" formatCode="#,##0.0_ ;[Red]\-#,##0.0\ ;\–\ "/>
    <numFmt numFmtId="169" formatCode="0.000"/>
    <numFmt numFmtId="170" formatCode="#,##0.0"/>
    <numFmt numFmtId="171" formatCode="#,##0.0000"/>
    <numFmt numFmtId="172" formatCode="#,##0.00000"/>
    <numFmt numFmtId="173" formatCode="#,##0.00_ ;[Red]\-#,##0.00\ "/>
    <numFmt numFmtId="174" formatCode="#,##0.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Times New Roman CE"/>
      <family val="0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 val="single"/>
      <sz val="18"/>
      <name val="Times New Roman"/>
      <family val="1"/>
    </font>
    <font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 CE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2"/>
      <color indexed="6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  <font>
      <i/>
      <sz val="12"/>
      <color indexed="23"/>
      <name val="Arial"/>
      <family val="2"/>
    </font>
    <font>
      <b/>
      <i/>
      <sz val="12"/>
      <color indexed="23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sz val="9"/>
      <color indexed="23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23"/>
      <name val="Arial"/>
      <family val="2"/>
    </font>
    <font>
      <b/>
      <sz val="25"/>
      <name val="Arial"/>
      <family val="2"/>
    </font>
    <font>
      <i/>
      <sz val="9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 CE"/>
      <family val="0"/>
    </font>
    <font>
      <b/>
      <sz val="10"/>
      <color theme="1"/>
      <name val="Arial"/>
      <family val="2"/>
    </font>
    <font>
      <b/>
      <i/>
      <sz val="11"/>
      <color rgb="FF808080"/>
      <name val="Arial"/>
      <family val="2"/>
    </font>
    <font>
      <sz val="8"/>
      <color theme="1"/>
      <name val="Arial"/>
      <family val="2"/>
    </font>
    <font>
      <sz val="9"/>
      <color theme="0" tint="-0.4999699890613556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</font>
    <font>
      <sz val="8"/>
      <color theme="0" tint="-0.4999699890613556"/>
      <name val="Arial"/>
      <family val="2"/>
    </font>
    <font>
      <i/>
      <sz val="11"/>
      <color rgb="FF808080"/>
      <name val="Arial"/>
      <family val="2"/>
    </font>
    <font>
      <i/>
      <sz val="12"/>
      <color rgb="FF808080"/>
      <name val="Arial"/>
      <family val="2"/>
    </font>
    <font>
      <b/>
      <i/>
      <sz val="12"/>
      <color rgb="FF808080"/>
      <name val="Arial"/>
      <family val="2"/>
    </font>
    <font>
      <i/>
      <sz val="9"/>
      <color theme="0" tint="-0.24997000396251678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>
        <color indexed="10"/>
      </right>
      <top style="double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/>
      <right style="thin"/>
      <top style="double"/>
      <bottom style="thin"/>
    </border>
    <border>
      <left/>
      <right style="double">
        <color indexed="10"/>
      </right>
      <top style="double"/>
      <bottom style="thin"/>
    </border>
    <border>
      <left style="double">
        <color indexed="10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double"/>
      <right style="double">
        <color indexed="10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thin"/>
    </border>
    <border>
      <left style="double"/>
      <right/>
      <top style="medium"/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double">
        <color indexed="10"/>
      </bottom>
    </border>
    <border>
      <left style="double"/>
      <right/>
      <top/>
      <bottom style="double">
        <color indexed="10"/>
      </bottom>
    </border>
    <border>
      <left style="double">
        <color rgb="FFFF0000"/>
      </left>
      <right style="double">
        <color rgb="FFFF0000"/>
      </right>
      <top/>
      <bottom style="double">
        <color indexed="10"/>
      </bottom>
    </border>
    <border>
      <left/>
      <right style="thin"/>
      <top style="medium"/>
      <bottom style="double">
        <color indexed="10"/>
      </bottom>
    </border>
    <border>
      <left style="thin"/>
      <right style="thin"/>
      <top style="medium"/>
      <bottom style="double">
        <color indexed="10"/>
      </bottom>
    </border>
    <border>
      <left style="thin"/>
      <right style="thin"/>
      <top/>
      <bottom style="double">
        <color indexed="10"/>
      </bottom>
    </border>
    <border>
      <left style="thin"/>
      <right/>
      <top/>
      <bottom style="double">
        <color indexed="10"/>
      </bottom>
    </border>
    <border>
      <left style="double">
        <color indexed="10"/>
      </left>
      <right style="double">
        <color indexed="10"/>
      </right>
      <top/>
      <bottom style="double">
        <color indexed="10"/>
      </bottom>
    </border>
    <border>
      <left/>
      <right style="double"/>
      <top/>
      <bottom style="double">
        <color indexed="10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 style="double"/>
      <bottom style="double">
        <color indexed="10"/>
      </bottom>
    </border>
    <border>
      <left style="double"/>
      <right/>
      <top style="double"/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/>
      <bottom style="double">
        <color indexed="10"/>
      </bottom>
    </border>
    <border>
      <left/>
      <right style="thin"/>
      <top style="double"/>
      <bottom style="double">
        <color indexed="10"/>
      </bottom>
    </border>
    <border>
      <left style="thin"/>
      <right style="thin"/>
      <top style="double"/>
      <bottom style="double">
        <color indexed="10"/>
      </bottom>
    </border>
    <border>
      <left style="thin"/>
      <right/>
      <top style="double"/>
      <bottom style="double">
        <color indexed="10"/>
      </bottom>
    </border>
    <border>
      <left style="double">
        <color indexed="10"/>
      </left>
      <right style="double">
        <color indexed="10"/>
      </right>
      <top style="double"/>
      <bottom style="double">
        <color indexed="10"/>
      </bottom>
    </border>
    <border>
      <left/>
      <right style="double"/>
      <top style="double"/>
      <bottom style="double">
        <color indexed="10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>
        <color rgb="FFFF0000"/>
      </left>
      <right style="double">
        <color rgb="FFFF0000"/>
      </right>
      <top style="double"/>
      <bottom style="double"/>
    </border>
    <border>
      <left/>
      <right style="thin"/>
      <top style="double"/>
      <bottom style="double"/>
    </border>
    <border>
      <left style="double">
        <color indexed="10"/>
      </left>
      <right style="double">
        <color indexed="10"/>
      </right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thin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medium"/>
      <bottom style="thin"/>
    </border>
    <border>
      <left style="hair"/>
      <right style="thin"/>
      <top/>
      <bottom style="medium"/>
    </border>
    <border>
      <left style="hair"/>
      <right style="thin"/>
      <top style="medium"/>
      <bottom style="medium"/>
    </border>
    <border>
      <left style="hair"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thin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thin"/>
    </border>
    <border>
      <left/>
      <right style="hair"/>
      <top/>
      <bottom/>
    </border>
    <border>
      <left/>
      <right style="hair"/>
      <top/>
      <bottom style="medium"/>
    </border>
    <border>
      <left style="thin"/>
      <right/>
      <top style="medium"/>
      <bottom style="thin"/>
    </border>
    <border>
      <left style="hair"/>
      <right/>
      <top style="medium"/>
      <bottom style="thin"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 style="hair"/>
      <top style="medium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medium"/>
    </border>
    <border>
      <left style="thin"/>
      <right style="medium"/>
      <top style="double"/>
      <bottom style="thin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thin"/>
      <bottom style="medium"/>
    </border>
    <border>
      <left style="thin"/>
      <right/>
      <top style="hair"/>
      <bottom style="hair"/>
    </border>
    <border>
      <left style="medium"/>
      <right style="thin"/>
      <top/>
      <bottom/>
    </border>
    <border>
      <left style="thin"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 style="hair"/>
      <top/>
      <bottom style="medium"/>
    </border>
    <border>
      <left style="medium"/>
      <right style="medium"/>
      <top/>
      <bottom style="double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1007">
    <xf numFmtId="0" fontId="0" fillId="0" borderId="0" xfId="0" applyFont="1" applyAlignment="1">
      <alignment/>
    </xf>
    <xf numFmtId="0" fontId="5" fillId="0" borderId="0" xfId="77" applyFont="1" applyFill="1" applyAlignment="1">
      <alignment vertical="center"/>
      <protection/>
    </xf>
    <xf numFmtId="0" fontId="6" fillId="0" borderId="0" xfId="77" applyFont="1" applyFill="1" applyAlignment="1">
      <alignment vertical="center"/>
      <protection/>
    </xf>
    <xf numFmtId="0" fontId="8" fillId="0" borderId="0" xfId="77" applyFont="1" applyFill="1" applyAlignment="1">
      <alignment vertical="center"/>
      <protection/>
    </xf>
    <xf numFmtId="164" fontId="6" fillId="0" borderId="0" xfId="77" applyNumberFormat="1" applyFont="1" applyFill="1" applyAlignment="1">
      <alignment vertical="center"/>
      <protection/>
    </xf>
    <xf numFmtId="0" fontId="9" fillId="0" borderId="0" xfId="77" applyFont="1" applyFill="1" applyAlignment="1">
      <alignment vertical="center"/>
      <protection/>
    </xf>
    <xf numFmtId="0" fontId="9" fillId="0" borderId="0" xfId="77" applyFont="1" applyFill="1" applyAlignment="1">
      <alignment horizontal="center" vertical="center" wrapText="1"/>
      <protection/>
    </xf>
    <xf numFmtId="1" fontId="4" fillId="0" borderId="10" xfId="77" applyNumberFormat="1" applyFont="1" applyFill="1" applyBorder="1" applyAlignment="1">
      <alignment horizontal="center" vertical="center"/>
      <protection/>
    </xf>
    <xf numFmtId="1" fontId="4" fillId="0" borderId="11" xfId="77" applyNumberFormat="1" applyFont="1" applyFill="1" applyBorder="1" applyAlignment="1">
      <alignment horizontal="center" vertical="center"/>
      <protection/>
    </xf>
    <xf numFmtId="1" fontId="4" fillId="0" borderId="12" xfId="77" applyNumberFormat="1" applyFont="1" applyFill="1" applyBorder="1" applyAlignment="1">
      <alignment horizontal="center" vertical="center"/>
      <protection/>
    </xf>
    <xf numFmtId="1" fontId="9" fillId="0" borderId="0" xfId="77" applyNumberFormat="1" applyFont="1" applyFill="1" applyAlignment="1">
      <alignment horizontal="center" vertical="center"/>
      <protection/>
    </xf>
    <xf numFmtId="0" fontId="14" fillId="0" borderId="0" xfId="77" applyFont="1" applyFill="1" applyAlignment="1">
      <alignment vertical="center"/>
      <protection/>
    </xf>
    <xf numFmtId="0" fontId="15" fillId="0" borderId="0" xfId="77" applyFont="1" applyFill="1" applyAlignment="1">
      <alignment vertical="center"/>
      <protection/>
    </xf>
    <xf numFmtId="3" fontId="14" fillId="0" borderId="0" xfId="77" applyNumberFormat="1" applyFont="1" applyFill="1" applyAlignment="1">
      <alignment vertical="center"/>
      <protection/>
    </xf>
    <xf numFmtId="0" fontId="4" fillId="0" borderId="0" xfId="77" applyFont="1" applyFill="1" applyBorder="1" applyAlignment="1">
      <alignment vertical="center"/>
      <protection/>
    </xf>
    <xf numFmtId="164" fontId="4" fillId="0" borderId="0" xfId="77" applyNumberFormat="1" applyFont="1" applyFill="1" applyBorder="1" applyAlignment="1">
      <alignment vertical="center"/>
      <protection/>
    </xf>
    <xf numFmtId="3" fontId="4" fillId="0" borderId="0" xfId="77" applyNumberFormat="1" applyFont="1" applyFill="1" applyBorder="1" applyAlignment="1">
      <alignment vertical="center"/>
      <protection/>
    </xf>
    <xf numFmtId="164" fontId="6" fillId="0" borderId="0" xfId="77" applyNumberFormat="1" applyFont="1" applyFill="1" applyBorder="1" applyAlignment="1">
      <alignment vertical="center"/>
      <protection/>
    </xf>
    <xf numFmtId="3" fontId="4" fillId="0" borderId="0" xfId="77" applyNumberFormat="1" applyFont="1" applyFill="1" applyBorder="1" applyAlignment="1">
      <alignment horizontal="right" vertical="center"/>
      <protection/>
    </xf>
    <xf numFmtId="0" fontId="6" fillId="0" borderId="0" xfId="46" applyFont="1" applyFill="1" applyAlignment="1">
      <alignment vertical="center"/>
      <protection/>
    </xf>
    <xf numFmtId="164" fontId="4" fillId="0" borderId="0" xfId="77" applyNumberFormat="1" applyFont="1" applyFill="1" applyBorder="1" applyAlignment="1">
      <alignment horizontal="right" vertical="center"/>
      <protection/>
    </xf>
    <xf numFmtId="0" fontId="11" fillId="0" borderId="0" xfId="46" applyFont="1" applyFill="1" applyAlignment="1">
      <alignment vertical="center"/>
      <protection/>
    </xf>
    <xf numFmtId="0" fontId="17" fillId="0" borderId="0" xfId="46" applyFont="1" applyFill="1" applyAlignment="1">
      <alignment vertical="center"/>
      <protection/>
    </xf>
    <xf numFmtId="164" fontId="11" fillId="0" borderId="0" xfId="46" applyNumberFormat="1" applyFont="1" applyFill="1" applyAlignment="1">
      <alignment vertical="center"/>
      <protection/>
    </xf>
    <xf numFmtId="164" fontId="11" fillId="0" borderId="0" xfId="46" applyNumberFormat="1" applyFont="1" applyFill="1" applyAlignment="1">
      <alignment horizontal="right" vertical="center"/>
      <protection/>
    </xf>
    <xf numFmtId="164" fontId="6" fillId="0" borderId="0" xfId="77" applyNumberFormat="1" applyFont="1" applyFill="1" applyAlignment="1">
      <alignment horizontal="right" vertical="center"/>
      <protection/>
    </xf>
    <xf numFmtId="0" fontId="17" fillId="0" borderId="0" xfId="77" applyFont="1" applyFill="1" applyAlignment="1">
      <alignment vertical="center"/>
      <protection/>
    </xf>
    <xf numFmtId="164" fontId="19" fillId="0" borderId="0" xfId="80" applyNumberFormat="1" applyFont="1" applyFill="1" applyBorder="1" applyAlignment="1" applyProtection="1">
      <alignment horizontal="center" vertical="center"/>
      <protection/>
    </xf>
    <xf numFmtId="0" fontId="18" fillId="0" borderId="0" xfId="49" applyFont="1" applyFill="1" applyBorder="1" applyAlignment="1">
      <alignment horizontal="center" vertical="center" wrapText="1"/>
      <protection/>
    </xf>
    <xf numFmtId="0" fontId="11" fillId="0" borderId="0" xfId="49" applyFont="1" applyFill="1" applyBorder="1" applyAlignment="1">
      <alignment vertical="center"/>
      <protection/>
    </xf>
    <xf numFmtId="164" fontId="18" fillId="0" borderId="0" xfId="80" applyNumberFormat="1" applyFont="1" applyFill="1" applyBorder="1" applyAlignment="1" applyProtection="1">
      <alignment horizontal="right" vertical="center"/>
      <protection/>
    </xf>
    <xf numFmtId="49" fontId="18" fillId="0" borderId="0" xfId="49" applyNumberFormat="1" applyFont="1" applyFill="1" applyBorder="1" applyAlignment="1" applyProtection="1">
      <alignment horizontal="left" vertical="center"/>
      <protection/>
    </xf>
    <xf numFmtId="164" fontId="20" fillId="0" borderId="0" xfId="80" applyNumberFormat="1" applyFont="1" applyFill="1" applyBorder="1" applyAlignment="1" applyProtection="1">
      <alignment horizontal="right" vertical="center"/>
      <protection/>
    </xf>
    <xf numFmtId="0" fontId="27" fillId="0" borderId="0" xfId="46" applyFont="1" applyBorder="1" applyAlignment="1">
      <alignment vertical="center" wrapText="1"/>
      <protection/>
    </xf>
    <xf numFmtId="0" fontId="27" fillId="0" borderId="0" xfId="46" applyFont="1" applyAlignment="1">
      <alignment vertical="center" wrapText="1"/>
      <protection/>
    </xf>
    <xf numFmtId="0" fontId="27" fillId="0" borderId="0" xfId="46" applyFont="1">
      <alignment/>
      <protection/>
    </xf>
    <xf numFmtId="0" fontId="27" fillId="0" borderId="0" xfId="46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78" applyFont="1" applyAlignment="1">
      <alignment vertical="center"/>
      <protection/>
    </xf>
    <xf numFmtId="0" fontId="11" fillId="0" borderId="13" xfId="78" applyFont="1" applyBorder="1" applyAlignment="1">
      <alignment horizontal="center" vertical="center"/>
      <protection/>
    </xf>
    <xf numFmtId="0" fontId="11" fillId="0" borderId="14" xfId="78" applyFont="1" applyBorder="1" applyAlignment="1">
      <alignment horizontal="centerContinuous" vertical="center"/>
      <protection/>
    </xf>
    <xf numFmtId="0" fontId="11" fillId="0" borderId="15" xfId="78" applyFont="1" applyBorder="1" applyAlignment="1">
      <alignment horizontal="centerContinuous" vertical="center"/>
      <protection/>
    </xf>
    <xf numFmtId="0" fontId="11" fillId="0" borderId="16" xfId="78" applyFont="1" applyBorder="1" applyAlignment="1">
      <alignment horizontal="centerContinuous" vertical="center"/>
      <protection/>
    </xf>
    <xf numFmtId="0" fontId="11" fillId="0" borderId="17" xfId="78" applyFont="1" applyFill="1" applyBorder="1" applyAlignment="1">
      <alignment horizontal="center" vertical="center"/>
      <protection/>
    </xf>
    <xf numFmtId="0" fontId="11" fillId="0" borderId="18" xfId="78" applyFont="1" applyBorder="1" applyAlignment="1">
      <alignment horizontal="center" vertical="center" wrapText="1"/>
      <protection/>
    </xf>
    <xf numFmtId="0" fontId="11" fillId="0" borderId="19" xfId="78" applyFont="1" applyBorder="1" applyAlignment="1">
      <alignment horizontal="center" vertical="center" wrapText="1"/>
      <protection/>
    </xf>
    <xf numFmtId="0" fontId="11" fillId="0" borderId="20" xfId="78" applyFont="1" applyFill="1" applyBorder="1" applyAlignment="1">
      <alignment horizontal="center" vertical="center" wrapText="1"/>
      <protection/>
    </xf>
    <xf numFmtId="0" fontId="11" fillId="0" borderId="21" xfId="78" applyFont="1" applyBorder="1" applyAlignment="1">
      <alignment vertical="center"/>
      <protection/>
    </xf>
    <xf numFmtId="3" fontId="11" fillId="0" borderId="22" xfId="78" applyNumberFormat="1" applyFont="1" applyBorder="1" applyAlignment="1">
      <alignment vertical="center"/>
      <protection/>
    </xf>
    <xf numFmtId="3" fontId="11" fillId="0" borderId="23" xfId="78" applyNumberFormat="1" applyFont="1" applyFill="1" applyBorder="1" applyAlignment="1">
      <alignment vertical="center"/>
      <protection/>
    </xf>
    <xf numFmtId="0" fontId="11" fillId="0" borderId="24" xfId="78" applyFont="1" applyBorder="1" applyAlignment="1">
      <alignment vertical="center"/>
      <protection/>
    </xf>
    <xf numFmtId="0" fontId="11" fillId="0" borderId="25" xfId="78" applyFont="1" applyBorder="1" applyAlignment="1">
      <alignment vertical="center"/>
      <protection/>
    </xf>
    <xf numFmtId="0" fontId="11" fillId="0" borderId="26" xfId="78" applyFont="1" applyBorder="1" applyAlignment="1">
      <alignment vertical="center"/>
      <protection/>
    </xf>
    <xf numFmtId="3" fontId="11" fillId="0" borderId="0" xfId="78" applyNumberFormat="1" applyFont="1" applyAlignment="1">
      <alignment vertical="center"/>
      <protection/>
    </xf>
    <xf numFmtId="4" fontId="11" fillId="0" borderId="27" xfId="78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3" fontId="32" fillId="0" borderId="28" xfId="0" applyNumberFormat="1" applyFont="1" applyBorder="1" applyAlignment="1">
      <alignment vertical="center"/>
    </xf>
    <xf numFmtId="170" fontId="20" fillId="0" borderId="0" xfId="80" applyNumberFormat="1" applyFont="1" applyFill="1" applyBorder="1" applyAlignment="1" applyProtection="1">
      <alignment horizontal="right" vertical="center"/>
      <protection/>
    </xf>
    <xf numFmtId="167" fontId="11" fillId="0" borderId="0" xfId="49" applyNumberFormat="1" applyFont="1" applyFill="1" applyBorder="1" applyAlignment="1">
      <alignment vertical="center"/>
      <protection/>
    </xf>
    <xf numFmtId="164" fontId="96" fillId="0" borderId="29" xfId="0" applyNumberFormat="1" applyFont="1" applyFill="1" applyBorder="1" applyAlignment="1">
      <alignment horizontal="right" vertical="center" wrapText="1"/>
    </xf>
    <xf numFmtId="0" fontId="34" fillId="0" borderId="0" xfId="46" applyFont="1" applyFill="1" applyBorder="1" applyAlignment="1">
      <alignment vertical="center"/>
      <protection/>
    </xf>
    <xf numFmtId="0" fontId="35" fillId="0" borderId="0" xfId="46" applyFont="1" applyFill="1" applyBorder="1" applyAlignment="1">
      <alignment vertical="center"/>
      <protection/>
    </xf>
    <xf numFmtId="0" fontId="11" fillId="0" borderId="0" xfId="46">
      <alignment/>
      <protection/>
    </xf>
    <xf numFmtId="0" fontId="11" fillId="0" borderId="0" xfId="46" applyFill="1" applyAlignment="1">
      <alignment vertical="center"/>
      <protection/>
    </xf>
    <xf numFmtId="170" fontId="36" fillId="0" borderId="0" xfId="46" applyNumberFormat="1" applyFont="1" applyAlignment="1">
      <alignment horizontal="right" vertical="center"/>
      <protection/>
    </xf>
    <xf numFmtId="0" fontId="36" fillId="0" borderId="0" xfId="46" applyFont="1" applyFill="1" applyBorder="1" applyAlignment="1">
      <alignment vertical="center"/>
      <protection/>
    </xf>
    <xf numFmtId="170" fontId="11" fillId="0" borderId="0" xfId="46" applyNumberFormat="1" applyAlignment="1">
      <alignment horizontal="center" vertical="center"/>
      <protection/>
    </xf>
    <xf numFmtId="0" fontId="11" fillId="0" borderId="0" xfId="46" applyAlignment="1">
      <alignment vertical="center"/>
      <protection/>
    </xf>
    <xf numFmtId="3" fontId="11" fillId="0" borderId="0" xfId="46" applyNumberFormat="1" applyAlignment="1">
      <alignment vertical="center"/>
      <protection/>
    </xf>
    <xf numFmtId="0" fontId="11" fillId="0" borderId="0" xfId="46" applyAlignment="1">
      <alignment horizontal="center" vertical="center"/>
      <protection/>
    </xf>
    <xf numFmtId="1" fontId="32" fillId="0" borderId="0" xfId="46" applyNumberFormat="1" applyFont="1" applyAlignment="1">
      <alignment horizontal="center" vertical="center"/>
      <protection/>
    </xf>
    <xf numFmtId="0" fontId="11" fillId="0" borderId="0" xfId="46" applyFont="1" applyAlignment="1">
      <alignment horizontal="center" vertical="center"/>
      <protection/>
    </xf>
    <xf numFmtId="0" fontId="32" fillId="0" borderId="30" xfId="46" applyFont="1" applyFill="1" applyBorder="1" applyAlignment="1">
      <alignment horizontal="center" vertical="center" wrapText="1"/>
      <protection/>
    </xf>
    <xf numFmtId="170" fontId="32" fillId="0" borderId="31" xfId="46" applyNumberFormat="1" applyFont="1" applyFill="1" applyBorder="1" applyAlignment="1">
      <alignment horizontal="center" vertical="center" wrapText="1"/>
      <protection/>
    </xf>
    <xf numFmtId="0" fontId="11" fillId="0" borderId="32" xfId="46" applyFill="1" applyBorder="1" applyAlignment="1">
      <alignment horizontal="center" vertical="center" wrapText="1"/>
      <protection/>
    </xf>
    <xf numFmtId="0" fontId="11" fillId="0" borderId="33" xfId="46" applyFill="1" applyBorder="1" applyAlignment="1">
      <alignment horizontal="center" vertical="center" wrapText="1"/>
      <protection/>
    </xf>
    <xf numFmtId="0" fontId="11" fillId="0" borderId="30" xfId="46" applyFill="1" applyBorder="1" applyAlignment="1">
      <alignment horizontal="center" vertical="center" wrapText="1"/>
      <protection/>
    </xf>
    <xf numFmtId="0" fontId="11" fillId="0" borderId="34" xfId="46" applyFill="1" applyBorder="1" applyAlignment="1">
      <alignment horizontal="center" vertical="center" wrapText="1"/>
      <protection/>
    </xf>
    <xf numFmtId="170" fontId="32" fillId="0" borderId="30" xfId="46" applyNumberFormat="1" applyFont="1" applyFill="1" applyBorder="1" applyAlignment="1">
      <alignment horizontal="center" vertical="center" wrapText="1"/>
      <protection/>
    </xf>
    <xf numFmtId="3" fontId="11" fillId="0" borderId="30" xfId="46" applyNumberFormat="1" applyFill="1" applyBorder="1" applyAlignment="1">
      <alignment horizontal="center" vertical="center" wrapText="1"/>
      <protection/>
    </xf>
    <xf numFmtId="0" fontId="11" fillId="0" borderId="35" xfId="46" applyFill="1" applyBorder="1" applyAlignment="1">
      <alignment horizontal="center" vertical="center" wrapText="1"/>
      <protection/>
    </xf>
    <xf numFmtId="170" fontId="32" fillId="0" borderId="33" xfId="46" applyNumberFormat="1" applyFont="1" applyFill="1" applyBorder="1" applyAlignment="1">
      <alignment horizontal="center" vertical="center" wrapText="1"/>
      <protection/>
    </xf>
    <xf numFmtId="0" fontId="11" fillId="0" borderId="36" xfId="46" applyFill="1" applyBorder="1" applyAlignment="1">
      <alignment horizontal="center" vertical="center" wrapText="1"/>
      <protection/>
    </xf>
    <xf numFmtId="0" fontId="11" fillId="0" borderId="37" xfId="46" applyFill="1" applyBorder="1" applyAlignment="1">
      <alignment horizontal="center" vertical="center" wrapText="1"/>
      <protection/>
    </xf>
    <xf numFmtId="0" fontId="11" fillId="0" borderId="0" xfId="46" applyFill="1" applyAlignment="1">
      <alignment horizontal="center" vertical="center"/>
      <protection/>
    </xf>
    <xf numFmtId="0" fontId="11" fillId="0" borderId="38" xfId="46" applyBorder="1" applyAlignment="1">
      <alignment horizontal="center" vertical="center"/>
      <protection/>
    </xf>
    <xf numFmtId="0" fontId="11" fillId="0" borderId="39" xfId="46" applyBorder="1" applyAlignment="1">
      <alignment horizontal="center" vertical="center"/>
      <protection/>
    </xf>
    <xf numFmtId="0" fontId="11" fillId="0" borderId="40" xfId="46" applyBorder="1" applyAlignment="1">
      <alignment horizontal="center" vertical="center"/>
      <protection/>
    </xf>
    <xf numFmtId="0" fontId="11" fillId="0" borderId="41" xfId="46" applyBorder="1" applyAlignment="1">
      <alignment horizontal="center" vertical="center"/>
      <protection/>
    </xf>
    <xf numFmtId="0" fontId="11" fillId="0" borderId="42" xfId="46" applyBorder="1" applyAlignment="1">
      <alignment horizontal="center" vertical="center"/>
      <protection/>
    </xf>
    <xf numFmtId="3" fontId="11" fillId="0" borderId="38" xfId="46" applyNumberFormat="1" applyBorder="1" applyAlignment="1">
      <alignment horizontal="center" vertical="center"/>
      <protection/>
    </xf>
    <xf numFmtId="0" fontId="11" fillId="0" borderId="43" xfId="46" applyBorder="1" applyAlignment="1">
      <alignment horizontal="center" vertical="center"/>
      <protection/>
    </xf>
    <xf numFmtId="0" fontId="11" fillId="0" borderId="44" xfId="46" applyBorder="1" applyAlignment="1">
      <alignment horizontal="center" vertical="center"/>
      <protection/>
    </xf>
    <xf numFmtId="0" fontId="11" fillId="0" borderId="45" xfId="46" applyBorder="1" applyAlignment="1">
      <alignment horizontal="center" vertical="center"/>
      <protection/>
    </xf>
    <xf numFmtId="0" fontId="11" fillId="0" borderId="38" xfId="46" applyBorder="1">
      <alignment/>
      <protection/>
    </xf>
    <xf numFmtId="0" fontId="11" fillId="0" borderId="39" xfId="46" applyBorder="1">
      <alignment/>
      <protection/>
    </xf>
    <xf numFmtId="0" fontId="11" fillId="0" borderId="40" xfId="46" applyBorder="1">
      <alignment/>
      <protection/>
    </xf>
    <xf numFmtId="0" fontId="11" fillId="0" borderId="41" xfId="46" applyBorder="1">
      <alignment/>
      <protection/>
    </xf>
    <xf numFmtId="0" fontId="11" fillId="0" borderId="42" xfId="46" applyBorder="1">
      <alignment/>
      <protection/>
    </xf>
    <xf numFmtId="3" fontId="11" fillId="0" borderId="38" xfId="46" applyNumberFormat="1" applyBorder="1">
      <alignment/>
      <protection/>
    </xf>
    <xf numFmtId="0" fontId="11" fillId="0" borderId="43" xfId="46" applyBorder="1">
      <alignment/>
      <protection/>
    </xf>
    <xf numFmtId="0" fontId="11" fillId="0" borderId="44" xfId="46" applyBorder="1">
      <alignment/>
      <protection/>
    </xf>
    <xf numFmtId="0" fontId="11" fillId="0" borderId="45" xfId="46" applyBorder="1">
      <alignment/>
      <protection/>
    </xf>
    <xf numFmtId="0" fontId="11" fillId="0" borderId="38" xfId="46" applyFill="1" applyBorder="1" applyAlignment="1">
      <alignment vertical="center"/>
      <protection/>
    </xf>
    <xf numFmtId="0" fontId="11" fillId="0" borderId="39" xfId="46" applyFill="1" applyBorder="1" applyAlignment="1">
      <alignment vertical="center"/>
      <protection/>
    </xf>
    <xf numFmtId="170" fontId="11" fillId="0" borderId="40" xfId="46" applyNumberFormat="1" applyBorder="1" applyAlignment="1">
      <alignment vertical="center"/>
      <protection/>
    </xf>
    <xf numFmtId="170" fontId="11" fillId="0" borderId="41" xfId="46" applyNumberFormat="1" applyBorder="1" applyAlignment="1">
      <alignment vertical="center"/>
      <protection/>
    </xf>
    <xf numFmtId="3" fontId="11" fillId="0" borderId="38" xfId="46" applyNumberFormat="1" applyBorder="1" applyAlignment="1">
      <alignment vertical="center"/>
      <protection/>
    </xf>
    <xf numFmtId="3" fontId="11" fillId="0" borderId="42" xfId="46" applyNumberFormat="1" applyBorder="1" applyAlignment="1">
      <alignment vertical="center"/>
      <protection/>
    </xf>
    <xf numFmtId="172" fontId="11" fillId="0" borderId="38" xfId="46" applyNumberFormat="1" applyBorder="1" applyAlignment="1">
      <alignment vertical="center"/>
      <protection/>
    </xf>
    <xf numFmtId="170" fontId="11" fillId="0" borderId="38" xfId="46" applyNumberFormat="1" applyBorder="1">
      <alignment/>
      <protection/>
    </xf>
    <xf numFmtId="170" fontId="11" fillId="0" borderId="43" xfId="46" applyNumberFormat="1" applyBorder="1">
      <alignment/>
      <protection/>
    </xf>
    <xf numFmtId="170" fontId="11" fillId="0" borderId="41" xfId="46" applyNumberFormat="1" applyBorder="1">
      <alignment/>
      <protection/>
    </xf>
    <xf numFmtId="3" fontId="11" fillId="0" borderId="44" xfId="46" applyNumberFormat="1" applyFill="1" applyBorder="1" applyAlignment="1">
      <alignment vertical="center"/>
      <protection/>
    </xf>
    <xf numFmtId="3" fontId="11" fillId="0" borderId="45" xfId="46" applyNumberFormat="1" applyFill="1" applyBorder="1" applyAlignment="1">
      <alignment vertical="center"/>
      <protection/>
    </xf>
    <xf numFmtId="0" fontId="37" fillId="0" borderId="46" xfId="46" applyFont="1" applyFill="1" applyBorder="1" applyAlignment="1">
      <alignment vertical="center"/>
      <protection/>
    </xf>
    <xf numFmtId="0" fontId="11" fillId="0" borderId="47" xfId="46" applyFont="1" applyFill="1" applyBorder="1" applyAlignment="1">
      <alignment vertical="center"/>
      <protection/>
    </xf>
    <xf numFmtId="170" fontId="11" fillId="0" borderId="40" xfId="46" applyNumberFormat="1" applyFill="1" applyBorder="1" applyAlignment="1">
      <alignment vertical="center"/>
      <protection/>
    </xf>
    <xf numFmtId="4" fontId="11" fillId="0" borderId="38" xfId="46" applyNumberFormat="1" applyFill="1" applyBorder="1" applyAlignment="1">
      <alignment vertical="center"/>
      <protection/>
    </xf>
    <xf numFmtId="172" fontId="11" fillId="0" borderId="38" xfId="46" applyNumberFormat="1" applyFill="1" applyBorder="1" applyAlignment="1">
      <alignment vertical="center"/>
      <protection/>
    </xf>
    <xf numFmtId="4" fontId="11" fillId="0" borderId="38" xfId="46" applyNumberFormat="1" applyBorder="1" applyAlignment="1">
      <alignment vertical="center"/>
      <protection/>
    </xf>
    <xf numFmtId="4" fontId="11" fillId="0" borderId="41" xfId="46" applyNumberFormat="1" applyBorder="1" applyAlignment="1">
      <alignment vertical="center"/>
      <protection/>
    </xf>
    <xf numFmtId="0" fontId="11" fillId="0" borderId="46" xfId="46" applyFill="1" applyBorder="1" applyAlignment="1">
      <alignment vertical="center"/>
      <protection/>
    </xf>
    <xf numFmtId="0" fontId="11" fillId="0" borderId="47" xfId="46" applyFill="1" applyBorder="1" applyAlignment="1">
      <alignment vertical="center"/>
      <protection/>
    </xf>
    <xf numFmtId="4" fontId="11" fillId="0" borderId="38" xfId="46" applyNumberFormat="1" applyBorder="1">
      <alignment/>
      <protection/>
    </xf>
    <xf numFmtId="4" fontId="11" fillId="0" borderId="41" xfId="46" applyNumberFormat="1" applyBorder="1">
      <alignment/>
      <protection/>
    </xf>
    <xf numFmtId="0" fontId="32" fillId="33" borderId="11" xfId="46" applyFont="1" applyFill="1" applyBorder="1" applyAlignment="1">
      <alignment vertical="center"/>
      <protection/>
    </xf>
    <xf numFmtId="0" fontId="32" fillId="33" borderId="48" xfId="46" applyFont="1" applyFill="1" applyBorder="1" applyAlignment="1">
      <alignment vertical="center"/>
      <protection/>
    </xf>
    <xf numFmtId="170" fontId="11" fillId="33" borderId="49" xfId="46" applyNumberFormat="1" applyFill="1" applyBorder="1" applyAlignment="1">
      <alignment/>
      <protection/>
    </xf>
    <xf numFmtId="3" fontId="11" fillId="33" borderId="11" xfId="46" applyNumberFormat="1" applyFill="1" applyBorder="1" applyAlignment="1">
      <alignment/>
      <protection/>
    </xf>
    <xf numFmtId="3" fontId="11" fillId="33" borderId="50" xfId="46" applyNumberFormat="1" applyFill="1" applyBorder="1" applyAlignment="1">
      <alignment/>
      <protection/>
    </xf>
    <xf numFmtId="3" fontId="11" fillId="33" borderId="51" xfId="46" applyNumberFormat="1" applyFill="1" applyBorder="1" applyAlignment="1">
      <alignment/>
      <protection/>
    </xf>
    <xf numFmtId="3" fontId="11" fillId="33" borderId="52" xfId="46" applyNumberFormat="1" applyFill="1" applyBorder="1" applyAlignment="1">
      <alignment/>
      <protection/>
    </xf>
    <xf numFmtId="3" fontId="11" fillId="33" borderId="53" xfId="46" applyNumberFormat="1" applyFill="1" applyBorder="1" applyAlignment="1">
      <alignment/>
      <protection/>
    </xf>
    <xf numFmtId="3" fontId="11" fillId="33" borderId="54" xfId="46" applyNumberFormat="1" applyFill="1" applyBorder="1" applyAlignment="1">
      <alignment/>
      <protection/>
    </xf>
    <xf numFmtId="0" fontId="11" fillId="0" borderId="22" xfId="46" applyBorder="1" applyAlignment="1">
      <alignment vertical="center"/>
      <protection/>
    </xf>
    <xf numFmtId="0" fontId="11" fillId="0" borderId="38" xfId="46" applyBorder="1" applyAlignment="1">
      <alignment vertical="center"/>
      <protection/>
    </xf>
    <xf numFmtId="0" fontId="11" fillId="0" borderId="46" xfId="46" applyBorder="1" applyAlignment="1">
      <alignment vertical="center"/>
      <protection/>
    </xf>
    <xf numFmtId="3" fontId="11" fillId="0" borderId="42" xfId="46" applyNumberFormat="1" applyFill="1" applyBorder="1" applyAlignment="1">
      <alignment vertical="center"/>
      <protection/>
    </xf>
    <xf numFmtId="0" fontId="11" fillId="0" borderId="22" xfId="46" applyFill="1" applyBorder="1" applyAlignment="1">
      <alignment vertical="center"/>
      <protection/>
    </xf>
    <xf numFmtId="0" fontId="11" fillId="0" borderId="55" xfId="46" applyFill="1" applyBorder="1" applyAlignment="1">
      <alignment vertical="center"/>
      <protection/>
    </xf>
    <xf numFmtId="0" fontId="37" fillId="0" borderId="38" xfId="46" applyFont="1" applyFill="1" applyBorder="1" applyAlignment="1">
      <alignment vertical="center"/>
      <protection/>
    </xf>
    <xf numFmtId="0" fontId="11" fillId="0" borderId="22" xfId="46" applyFont="1" applyFill="1" applyBorder="1" applyAlignment="1">
      <alignment vertical="center"/>
      <protection/>
    </xf>
    <xf numFmtId="0" fontId="11" fillId="0" borderId="38" xfId="46" applyFont="1" applyFill="1" applyBorder="1" applyAlignment="1">
      <alignment vertical="center"/>
      <protection/>
    </xf>
    <xf numFmtId="0" fontId="11" fillId="0" borderId="46" xfId="46" applyFont="1" applyFill="1" applyBorder="1" applyAlignment="1">
      <alignment vertical="center"/>
      <protection/>
    </xf>
    <xf numFmtId="170" fontId="11" fillId="33" borderId="56" xfId="46" applyNumberFormat="1" applyFill="1" applyBorder="1" applyAlignment="1">
      <alignment/>
      <protection/>
    </xf>
    <xf numFmtId="170" fontId="11" fillId="33" borderId="57" xfId="46" applyNumberFormat="1" applyFill="1" applyBorder="1" applyAlignment="1">
      <alignment/>
      <protection/>
    </xf>
    <xf numFmtId="0" fontId="32" fillId="34" borderId="58" xfId="46" applyFont="1" applyFill="1" applyBorder="1" applyAlignment="1">
      <alignment vertical="center"/>
      <protection/>
    </xf>
    <xf numFmtId="0" fontId="32" fillId="34" borderId="59" xfId="46" applyFont="1" applyFill="1" applyBorder="1" applyAlignment="1">
      <alignment vertical="center"/>
      <protection/>
    </xf>
    <xf numFmtId="3" fontId="11" fillId="34" borderId="60" xfId="46" applyNumberFormat="1" applyFill="1" applyBorder="1" applyAlignment="1">
      <alignment vertical="center"/>
      <protection/>
    </xf>
    <xf numFmtId="170" fontId="11" fillId="34" borderId="61" xfId="46" applyNumberFormat="1" applyFill="1" applyBorder="1" applyAlignment="1">
      <alignment vertical="center"/>
      <protection/>
    </xf>
    <xf numFmtId="170" fontId="11" fillId="34" borderId="62" xfId="46" applyNumberFormat="1" applyFill="1" applyBorder="1" applyAlignment="1">
      <alignment vertical="center"/>
      <protection/>
    </xf>
    <xf numFmtId="3" fontId="11" fillId="34" borderId="63" xfId="46" applyNumberFormat="1" applyFill="1" applyBorder="1" applyAlignment="1">
      <alignment vertical="center"/>
      <protection/>
    </xf>
    <xf numFmtId="3" fontId="11" fillId="34" borderId="64" xfId="46" applyNumberFormat="1" applyFill="1" applyBorder="1" applyAlignment="1">
      <alignment vertical="center"/>
      <protection/>
    </xf>
    <xf numFmtId="3" fontId="11" fillId="34" borderId="65" xfId="46" applyNumberFormat="1" applyFill="1" applyBorder="1" applyAlignment="1">
      <alignment vertical="center"/>
      <protection/>
    </xf>
    <xf numFmtId="3" fontId="11" fillId="34" borderId="66" xfId="46" applyNumberFormat="1" applyFill="1" applyBorder="1" applyAlignment="1">
      <alignment vertical="center"/>
      <protection/>
    </xf>
    <xf numFmtId="3" fontId="11" fillId="34" borderId="67" xfId="46" applyNumberFormat="1" applyFill="1" applyBorder="1" applyAlignment="1">
      <alignment vertical="center"/>
      <protection/>
    </xf>
    <xf numFmtId="3" fontId="11" fillId="34" borderId="68" xfId="46" applyNumberFormat="1" applyFill="1" applyBorder="1" applyAlignment="1">
      <alignment vertical="center"/>
      <protection/>
    </xf>
    <xf numFmtId="0" fontId="32" fillId="34" borderId="69" xfId="46" applyFont="1" applyFill="1" applyBorder="1" applyAlignment="1">
      <alignment vertical="center"/>
      <protection/>
    </xf>
    <xf numFmtId="0" fontId="32" fillId="34" borderId="70" xfId="46" applyFont="1" applyFill="1" applyBorder="1" applyAlignment="1">
      <alignment vertical="center"/>
      <protection/>
    </xf>
    <xf numFmtId="3" fontId="11" fillId="34" borderId="71" xfId="46" applyNumberFormat="1" applyFill="1" applyBorder="1" applyAlignment="1">
      <alignment vertical="center"/>
      <protection/>
    </xf>
    <xf numFmtId="170" fontId="11" fillId="34" borderId="72" xfId="46" applyNumberFormat="1" applyFill="1" applyBorder="1" applyAlignment="1">
      <alignment vertical="center"/>
      <protection/>
    </xf>
    <xf numFmtId="170" fontId="11" fillId="34" borderId="73" xfId="46" applyNumberFormat="1" applyFill="1" applyBorder="1" applyAlignment="1">
      <alignment vertical="center"/>
      <protection/>
    </xf>
    <xf numFmtId="3" fontId="11" fillId="34" borderId="74" xfId="46" applyNumberFormat="1" applyFill="1" applyBorder="1" applyAlignment="1">
      <alignment vertical="center"/>
      <protection/>
    </xf>
    <xf numFmtId="3" fontId="11" fillId="34" borderId="75" xfId="46" applyNumberFormat="1" applyFill="1" applyBorder="1" applyAlignment="1">
      <alignment vertical="center"/>
      <protection/>
    </xf>
    <xf numFmtId="3" fontId="11" fillId="34" borderId="76" xfId="46" applyNumberFormat="1" applyFill="1" applyBorder="1" applyAlignment="1">
      <alignment vertical="center"/>
      <protection/>
    </xf>
    <xf numFmtId="3" fontId="11" fillId="34" borderId="77" xfId="46" applyNumberFormat="1" applyFill="1" applyBorder="1" applyAlignment="1">
      <alignment vertical="center"/>
      <protection/>
    </xf>
    <xf numFmtId="3" fontId="11" fillId="34" borderId="78" xfId="46" applyNumberFormat="1" applyFill="1" applyBorder="1" applyAlignment="1">
      <alignment vertical="center"/>
      <protection/>
    </xf>
    <xf numFmtId="3" fontId="11" fillId="34" borderId="79" xfId="46" applyNumberFormat="1" applyFill="1" applyBorder="1" applyAlignment="1">
      <alignment vertical="center"/>
      <protection/>
    </xf>
    <xf numFmtId="170" fontId="11" fillId="34" borderId="80" xfId="46" applyNumberFormat="1" applyFill="1" applyBorder="1" applyAlignment="1">
      <alignment vertical="center"/>
      <protection/>
    </xf>
    <xf numFmtId="170" fontId="11" fillId="34" borderId="81" xfId="46" applyNumberFormat="1" applyFill="1" applyBorder="1" applyAlignment="1">
      <alignment vertical="center"/>
      <protection/>
    </xf>
    <xf numFmtId="3" fontId="11" fillId="34" borderId="82" xfId="46" applyNumberFormat="1" applyFill="1" applyBorder="1" applyAlignment="1">
      <alignment vertical="center"/>
      <protection/>
    </xf>
    <xf numFmtId="3" fontId="11" fillId="34" borderId="69" xfId="46" applyNumberFormat="1" applyFill="1" applyBorder="1" applyAlignment="1">
      <alignment vertical="center"/>
      <protection/>
    </xf>
    <xf numFmtId="3" fontId="11" fillId="34" borderId="70" xfId="46" applyNumberFormat="1" applyFill="1" applyBorder="1" applyAlignment="1">
      <alignment vertical="center"/>
      <protection/>
    </xf>
    <xf numFmtId="3" fontId="11" fillId="34" borderId="83" xfId="46" applyNumberFormat="1" applyFill="1" applyBorder="1" applyAlignment="1">
      <alignment vertical="center"/>
      <protection/>
    </xf>
    <xf numFmtId="3" fontId="11" fillId="34" borderId="84" xfId="46" applyNumberFormat="1" applyFill="1" applyBorder="1" applyAlignment="1">
      <alignment vertical="center"/>
      <protection/>
    </xf>
    <xf numFmtId="3" fontId="11" fillId="0" borderId="0" xfId="46" applyNumberFormat="1">
      <alignment/>
      <protection/>
    </xf>
    <xf numFmtId="0" fontId="34" fillId="0" borderId="0" xfId="46" applyFont="1" applyAlignment="1">
      <alignment vertical="center"/>
      <protection/>
    </xf>
    <xf numFmtId="0" fontId="11" fillId="0" borderId="39" xfId="46" applyBorder="1" applyAlignment="1">
      <alignment vertical="center"/>
      <protection/>
    </xf>
    <xf numFmtId="0" fontId="11" fillId="0" borderId="43" xfId="46" applyBorder="1" applyAlignment="1">
      <alignment vertical="center"/>
      <protection/>
    </xf>
    <xf numFmtId="0" fontId="11" fillId="0" borderId="42" xfId="46" applyBorder="1" applyAlignment="1">
      <alignment vertical="center"/>
      <protection/>
    </xf>
    <xf numFmtId="3" fontId="11" fillId="0" borderId="38" xfId="46" applyNumberFormat="1" applyFont="1" applyBorder="1" applyAlignment="1">
      <alignment vertical="center"/>
      <protection/>
    </xf>
    <xf numFmtId="0" fontId="11" fillId="0" borderId="39" xfId="46" applyFont="1" applyFill="1" applyBorder="1">
      <alignment/>
      <protection/>
    </xf>
    <xf numFmtId="0" fontId="11" fillId="0" borderId="43" xfId="46" applyFont="1" applyFill="1" applyBorder="1" applyAlignment="1">
      <alignment vertical="center"/>
      <protection/>
    </xf>
    <xf numFmtId="0" fontId="11" fillId="0" borderId="42" xfId="46" applyFont="1" applyFill="1" applyBorder="1" applyAlignment="1">
      <alignment vertical="center"/>
      <protection/>
    </xf>
    <xf numFmtId="3" fontId="11" fillId="0" borderId="38" xfId="46" applyNumberFormat="1" applyFont="1" applyFill="1" applyBorder="1">
      <alignment/>
      <protection/>
    </xf>
    <xf numFmtId="170" fontId="11" fillId="0" borderId="38" xfId="46" applyNumberFormat="1" applyFont="1" applyBorder="1" applyAlignment="1">
      <alignment vertical="center"/>
      <protection/>
    </xf>
    <xf numFmtId="0" fontId="11" fillId="0" borderId="43" xfId="46" applyFont="1" applyFill="1" applyBorder="1">
      <alignment/>
      <protection/>
    </xf>
    <xf numFmtId="0" fontId="11" fillId="0" borderId="42" xfId="46" applyFont="1" applyFill="1" applyBorder="1">
      <alignment/>
      <protection/>
    </xf>
    <xf numFmtId="3" fontId="11" fillId="0" borderId="38" xfId="46" applyNumberFormat="1" applyFont="1" applyFill="1" applyBorder="1" applyAlignment="1">
      <alignment vertical="center"/>
      <protection/>
    </xf>
    <xf numFmtId="3" fontId="11" fillId="0" borderId="39" xfId="46" applyNumberFormat="1" applyBorder="1" applyAlignment="1">
      <alignment vertical="center"/>
      <protection/>
    </xf>
    <xf numFmtId="10" fontId="11" fillId="0" borderId="38" xfId="46" applyNumberFormat="1" applyFont="1" applyBorder="1" applyAlignment="1">
      <alignment vertical="center"/>
      <protection/>
    </xf>
    <xf numFmtId="0" fontId="11" fillId="0" borderId="0" xfId="46" applyFont="1" applyFill="1" applyAlignment="1">
      <alignment horizontal="center" vertical="center"/>
      <protection/>
    </xf>
    <xf numFmtId="4" fontId="11" fillId="0" borderId="38" xfId="46" applyNumberFormat="1" applyFill="1" applyBorder="1">
      <alignment/>
      <protection/>
    </xf>
    <xf numFmtId="0" fontId="11" fillId="0" borderId="38" xfId="46" applyFont="1" applyBorder="1" applyAlignment="1">
      <alignment vertical="center"/>
      <protection/>
    </xf>
    <xf numFmtId="0" fontId="11" fillId="0" borderId="0" xfId="46" applyFont="1" applyAlignment="1">
      <alignment vertical="center"/>
      <protection/>
    </xf>
    <xf numFmtId="0" fontId="11" fillId="0" borderId="0" xfId="46" applyFont="1">
      <alignment/>
      <protection/>
    </xf>
    <xf numFmtId="4" fontId="11" fillId="0" borderId="38" xfId="46" applyNumberFormat="1" applyFont="1" applyBorder="1" applyAlignment="1">
      <alignment vertical="center"/>
      <protection/>
    </xf>
    <xf numFmtId="0" fontId="38" fillId="0" borderId="0" xfId="46" applyFont="1" applyAlignment="1">
      <alignment vertical="center"/>
      <protection/>
    </xf>
    <xf numFmtId="1" fontId="11" fillId="0" borderId="0" xfId="46" applyNumberFormat="1" applyAlignment="1">
      <alignment vertical="center"/>
      <protection/>
    </xf>
    <xf numFmtId="3" fontId="32" fillId="0" borderId="0" xfId="46" applyNumberFormat="1" applyFont="1" applyFill="1" applyAlignment="1">
      <alignment vertical="center"/>
      <protection/>
    </xf>
    <xf numFmtId="0" fontId="32" fillId="35" borderId="38" xfId="46" applyFont="1" applyFill="1" applyBorder="1" applyAlignment="1">
      <alignment horizontal="center" vertical="center" wrapText="1"/>
      <protection/>
    </xf>
    <xf numFmtId="3" fontId="32" fillId="35" borderId="38" xfId="46" applyNumberFormat="1" applyFont="1" applyFill="1" applyBorder="1" applyAlignment="1">
      <alignment horizontal="center" vertical="center" wrapText="1"/>
      <protection/>
    </xf>
    <xf numFmtId="4" fontId="32" fillId="35" borderId="38" xfId="46" applyNumberFormat="1" applyFont="1" applyFill="1" applyBorder="1" applyAlignment="1">
      <alignment horizontal="center" vertical="center" wrapText="1"/>
      <protection/>
    </xf>
    <xf numFmtId="0" fontId="32" fillId="35" borderId="38" xfId="46" applyFont="1" applyFill="1" applyBorder="1" applyAlignment="1">
      <alignment vertical="center"/>
      <protection/>
    </xf>
    <xf numFmtId="3" fontId="32" fillId="35" borderId="38" xfId="46" applyNumberFormat="1" applyFont="1" applyFill="1" applyBorder="1" applyAlignment="1">
      <alignment vertical="center"/>
      <protection/>
    </xf>
    <xf numFmtId="4" fontId="32" fillId="35" borderId="38" xfId="46" applyNumberFormat="1" applyFont="1" applyFill="1" applyBorder="1" applyAlignment="1">
      <alignment vertical="center"/>
      <protection/>
    </xf>
    <xf numFmtId="0" fontId="32" fillId="36" borderId="38" xfId="46" applyFont="1" applyFill="1" applyBorder="1" applyAlignment="1">
      <alignment vertical="center"/>
      <protection/>
    </xf>
    <xf numFmtId="3" fontId="32" fillId="36" borderId="38" xfId="46" applyNumberFormat="1" applyFont="1" applyFill="1" applyBorder="1" applyAlignment="1">
      <alignment vertical="center"/>
      <protection/>
    </xf>
    <xf numFmtId="4" fontId="32" fillId="36" borderId="38" xfId="46" applyNumberFormat="1" applyFont="1" applyFill="1" applyBorder="1" applyAlignment="1">
      <alignment vertical="center"/>
      <protection/>
    </xf>
    <xf numFmtId="0" fontId="32" fillId="37" borderId="38" xfId="46" applyFont="1" applyFill="1" applyBorder="1" applyAlignment="1">
      <alignment vertical="center"/>
      <protection/>
    </xf>
    <xf numFmtId="3" fontId="32" fillId="37" borderId="38" xfId="46" applyNumberFormat="1" applyFont="1" applyFill="1" applyBorder="1" applyAlignment="1">
      <alignment vertical="center"/>
      <protection/>
    </xf>
    <xf numFmtId="4" fontId="32" fillId="37" borderId="38" xfId="46" applyNumberFormat="1" applyFont="1" applyFill="1" applyBorder="1" applyAlignment="1">
      <alignment vertical="center"/>
      <protection/>
    </xf>
    <xf numFmtId="0" fontId="32" fillId="38" borderId="38" xfId="46" applyFont="1" applyFill="1" applyBorder="1" applyAlignment="1">
      <alignment vertical="center"/>
      <protection/>
    </xf>
    <xf numFmtId="3" fontId="32" fillId="38" borderId="38" xfId="46" applyNumberFormat="1" applyFont="1" applyFill="1" applyBorder="1" applyAlignment="1">
      <alignment vertical="center"/>
      <protection/>
    </xf>
    <xf numFmtId="4" fontId="32" fillId="38" borderId="38" xfId="46" applyNumberFormat="1" applyFont="1" applyFill="1" applyBorder="1" applyAlignment="1">
      <alignment vertical="center"/>
      <protection/>
    </xf>
    <xf numFmtId="0" fontId="32" fillId="38" borderId="19" xfId="46" applyFont="1" applyFill="1" applyBorder="1" applyAlignment="1">
      <alignment vertical="center"/>
      <protection/>
    </xf>
    <xf numFmtId="3" fontId="32" fillId="38" borderId="19" xfId="46" applyNumberFormat="1" applyFont="1" applyFill="1" applyBorder="1" applyAlignment="1">
      <alignment vertical="center"/>
      <protection/>
    </xf>
    <xf numFmtId="4" fontId="32" fillId="38" borderId="19" xfId="46" applyNumberFormat="1" applyFont="1" applyFill="1" applyBorder="1" applyAlignment="1">
      <alignment vertical="center"/>
      <protection/>
    </xf>
    <xf numFmtId="0" fontId="32" fillId="0" borderId="25" xfId="46" applyFont="1" applyBorder="1" applyAlignment="1">
      <alignment vertical="center"/>
      <protection/>
    </xf>
    <xf numFmtId="0" fontId="32" fillId="0" borderId="26" xfId="46" applyFont="1" applyBorder="1" applyAlignment="1">
      <alignment vertical="center"/>
      <protection/>
    </xf>
    <xf numFmtId="3" fontId="32" fillId="0" borderId="26" xfId="46" applyNumberFormat="1" applyFont="1" applyBorder="1" applyAlignment="1">
      <alignment vertical="center"/>
      <protection/>
    </xf>
    <xf numFmtId="4" fontId="11" fillId="0" borderId="0" xfId="46" applyNumberFormat="1">
      <alignment/>
      <protection/>
    </xf>
    <xf numFmtId="172" fontId="11" fillId="0" borderId="0" xfId="46" applyNumberFormat="1">
      <alignment/>
      <protection/>
    </xf>
    <xf numFmtId="170" fontId="9" fillId="0" borderId="0" xfId="46" applyNumberFormat="1" applyFont="1" applyFill="1" applyBorder="1" applyAlignment="1">
      <alignment horizontal="center" vertical="center" wrapText="1"/>
      <protection/>
    </xf>
    <xf numFmtId="170" fontId="11" fillId="0" borderId="0" xfId="46" applyNumberFormat="1">
      <alignment/>
      <protection/>
    </xf>
    <xf numFmtId="170" fontId="11" fillId="0" borderId="85" xfId="46" applyNumberFormat="1" applyFill="1" applyBorder="1" applyAlignment="1">
      <alignment horizontal="center" vertical="center" wrapText="1"/>
      <protection/>
    </xf>
    <xf numFmtId="170" fontId="11" fillId="0" borderId="86" xfId="46" applyNumberFormat="1" applyBorder="1" applyAlignment="1">
      <alignment horizontal="center" vertical="center"/>
      <protection/>
    </xf>
    <xf numFmtId="170" fontId="11" fillId="0" borderId="86" xfId="46" applyNumberFormat="1" applyBorder="1" applyAlignment="1">
      <alignment horizontal="center"/>
      <protection/>
    </xf>
    <xf numFmtId="170" fontId="11" fillId="0" borderId="86" xfId="46" applyNumberFormat="1" applyBorder="1" applyAlignment="1">
      <alignment vertical="center"/>
      <protection/>
    </xf>
    <xf numFmtId="170" fontId="11" fillId="0" borderId="86" xfId="46" applyNumberFormat="1" applyFill="1" applyBorder="1" applyAlignment="1">
      <alignment vertical="center"/>
      <protection/>
    </xf>
    <xf numFmtId="170" fontId="11" fillId="33" borderId="87" xfId="46" applyNumberFormat="1" applyFill="1" applyBorder="1" applyAlignment="1">
      <alignment/>
      <protection/>
    </xf>
    <xf numFmtId="170" fontId="11" fillId="34" borderId="60" xfId="46" applyNumberFormat="1" applyFill="1" applyBorder="1" applyAlignment="1">
      <alignment vertical="center"/>
      <protection/>
    </xf>
    <xf numFmtId="170" fontId="11" fillId="34" borderId="71" xfId="46" applyNumberFormat="1" applyFill="1" applyBorder="1" applyAlignment="1">
      <alignment vertical="center"/>
      <protection/>
    </xf>
    <xf numFmtId="170" fontId="11" fillId="34" borderId="79" xfId="46" applyNumberFormat="1" applyFill="1" applyBorder="1" applyAlignment="1">
      <alignment vertical="center"/>
      <protection/>
    </xf>
    <xf numFmtId="170" fontId="11" fillId="0" borderId="43" xfId="46" applyNumberFormat="1" applyBorder="1" applyAlignment="1">
      <alignment horizontal="center" vertical="center"/>
      <protection/>
    </xf>
    <xf numFmtId="170" fontId="11" fillId="0" borderId="0" xfId="46" applyNumberFormat="1" applyAlignment="1">
      <alignment vertical="center"/>
      <protection/>
    </xf>
    <xf numFmtId="170" fontId="32" fillId="35" borderId="38" xfId="46" applyNumberFormat="1" applyFont="1" applyFill="1" applyBorder="1" applyAlignment="1">
      <alignment horizontal="center" vertical="center" wrapText="1"/>
      <protection/>
    </xf>
    <xf numFmtId="170" fontId="32" fillId="35" borderId="38" xfId="46" applyNumberFormat="1" applyFont="1" applyFill="1" applyBorder="1" applyAlignment="1">
      <alignment vertical="center"/>
      <protection/>
    </xf>
    <xf numFmtId="170" fontId="32" fillId="36" borderId="38" xfId="46" applyNumberFormat="1" applyFont="1" applyFill="1" applyBorder="1" applyAlignment="1">
      <alignment vertical="center"/>
      <protection/>
    </xf>
    <xf numFmtId="170" fontId="32" fillId="37" borderId="38" xfId="46" applyNumberFormat="1" applyFont="1" applyFill="1" applyBorder="1" applyAlignment="1">
      <alignment vertical="center"/>
      <protection/>
    </xf>
    <xf numFmtId="170" fontId="32" fillId="38" borderId="38" xfId="46" applyNumberFormat="1" applyFont="1" applyFill="1" applyBorder="1" applyAlignment="1">
      <alignment vertical="center"/>
      <protection/>
    </xf>
    <xf numFmtId="170" fontId="32" fillId="38" borderId="19" xfId="46" applyNumberFormat="1" applyFont="1" applyFill="1" applyBorder="1" applyAlignment="1">
      <alignment vertical="center"/>
      <protection/>
    </xf>
    <xf numFmtId="170" fontId="32" fillId="0" borderId="26" xfId="46" applyNumberFormat="1" applyFont="1" applyBorder="1" applyAlignment="1">
      <alignment vertical="center"/>
      <protection/>
    </xf>
    <xf numFmtId="0" fontId="31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88" xfId="0" applyFont="1" applyBorder="1" applyAlignment="1">
      <alignment vertical="center"/>
    </xf>
    <xf numFmtId="3" fontId="98" fillId="0" borderId="55" xfId="0" applyNumberFormat="1" applyFont="1" applyBorder="1" applyAlignment="1">
      <alignment vertical="center"/>
    </xf>
    <xf numFmtId="3" fontId="98" fillId="0" borderId="89" xfId="0" applyNumberFormat="1" applyFont="1" applyBorder="1" applyAlignment="1">
      <alignment vertical="center"/>
    </xf>
    <xf numFmtId="0" fontId="98" fillId="0" borderId="90" xfId="0" applyFont="1" applyBorder="1" applyAlignment="1">
      <alignment vertical="center"/>
    </xf>
    <xf numFmtId="0" fontId="98" fillId="0" borderId="55" xfId="0" applyFont="1" applyBorder="1" applyAlignment="1">
      <alignment vertical="center"/>
    </xf>
    <xf numFmtId="0" fontId="98" fillId="0" borderId="0" xfId="0" applyFont="1" applyAlignment="1">
      <alignment vertical="center"/>
    </xf>
    <xf numFmtId="3" fontId="98" fillId="0" borderId="0" xfId="0" applyNumberFormat="1" applyFont="1" applyAlignment="1">
      <alignment vertical="center"/>
    </xf>
    <xf numFmtId="3" fontId="98" fillId="0" borderId="11" xfId="0" applyNumberFormat="1" applyFont="1" applyBorder="1" applyAlignment="1">
      <alignment horizontal="center" vertical="center" wrapText="1"/>
    </xf>
    <xf numFmtId="3" fontId="98" fillId="0" borderId="91" xfId="0" applyNumberFormat="1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8" fillId="0" borderId="92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3" fontId="98" fillId="0" borderId="38" xfId="0" applyNumberFormat="1" applyFont="1" applyBorder="1" applyAlignment="1">
      <alignment vertical="center"/>
    </xf>
    <xf numFmtId="10" fontId="99" fillId="0" borderId="19" xfId="0" applyNumberFormat="1" applyFont="1" applyBorder="1" applyAlignment="1">
      <alignment vertical="center"/>
    </xf>
    <xf numFmtId="10" fontId="99" fillId="0" borderId="93" xfId="0" applyNumberFormat="1" applyFont="1" applyBorder="1" applyAlignment="1">
      <alignment vertical="center"/>
    </xf>
    <xf numFmtId="0" fontId="98" fillId="0" borderId="0" xfId="0" applyFont="1" applyBorder="1" applyAlignment="1">
      <alignment/>
    </xf>
    <xf numFmtId="0" fontId="100" fillId="0" borderId="0" xfId="0" applyFont="1" applyAlignment="1">
      <alignment/>
    </xf>
    <xf numFmtId="3" fontId="11" fillId="0" borderId="29" xfId="77" applyNumberFormat="1" applyFont="1" applyFill="1" applyBorder="1" applyAlignment="1">
      <alignment horizontal="right" vertical="center"/>
      <protection/>
    </xf>
    <xf numFmtId="0" fontId="11" fillId="0" borderId="94" xfId="78" applyFont="1" applyBorder="1" applyAlignment="1">
      <alignment vertical="center"/>
      <protection/>
    </xf>
    <xf numFmtId="3" fontId="11" fillId="0" borderId="95" xfId="78" applyNumberFormat="1" applyFont="1" applyBorder="1" applyAlignment="1">
      <alignment vertical="center"/>
      <protection/>
    </xf>
    <xf numFmtId="0" fontId="11" fillId="0" borderId="10" xfId="78" applyFont="1" applyBorder="1" applyAlignment="1">
      <alignment vertical="center"/>
      <protection/>
    </xf>
    <xf numFmtId="3" fontId="11" fillId="0" borderId="11" xfId="78" applyNumberFormat="1" applyFont="1" applyBorder="1" applyAlignment="1">
      <alignment vertical="center"/>
      <protection/>
    </xf>
    <xf numFmtId="4" fontId="11" fillId="0" borderId="28" xfId="78" applyNumberFormat="1" applyFont="1" applyFill="1" applyBorder="1" applyAlignment="1">
      <alignment vertical="center"/>
      <protection/>
    </xf>
    <xf numFmtId="0" fontId="98" fillId="0" borderId="38" xfId="0" applyFont="1" applyBorder="1" applyAlignment="1">
      <alignment vertical="center"/>
    </xf>
    <xf numFmtId="0" fontId="99" fillId="0" borderId="38" xfId="0" applyFont="1" applyBorder="1" applyAlignment="1">
      <alignment vertical="center"/>
    </xf>
    <xf numFmtId="10" fontId="99" fillId="0" borderId="38" xfId="0" applyNumberFormat="1" applyFont="1" applyBorder="1" applyAlignment="1">
      <alignment vertical="center"/>
    </xf>
    <xf numFmtId="0" fontId="99" fillId="0" borderId="24" xfId="0" applyFont="1" applyFill="1" applyBorder="1" applyAlignment="1">
      <alignment vertical="center"/>
    </xf>
    <xf numFmtId="10" fontId="99" fillId="0" borderId="96" xfId="0" applyNumberFormat="1" applyFont="1" applyBorder="1" applyAlignment="1">
      <alignment vertical="center"/>
    </xf>
    <xf numFmtId="0" fontId="98" fillId="0" borderId="24" xfId="0" applyFont="1" applyFill="1" applyBorder="1" applyAlignment="1">
      <alignment vertical="center"/>
    </xf>
    <xf numFmtId="3" fontId="98" fillId="0" borderId="96" xfId="0" applyNumberFormat="1" applyFont="1" applyBorder="1" applyAlignment="1">
      <alignment vertical="center"/>
    </xf>
    <xf numFmtId="0" fontId="98" fillId="0" borderId="24" xfId="0" applyFont="1" applyBorder="1" applyAlignment="1">
      <alignment vertical="center"/>
    </xf>
    <xf numFmtId="0" fontId="99" fillId="0" borderId="97" xfId="0" applyFont="1" applyFill="1" applyBorder="1" applyAlignment="1">
      <alignment vertical="center"/>
    </xf>
    <xf numFmtId="0" fontId="99" fillId="0" borderId="19" xfId="0" applyFont="1" applyBorder="1" applyAlignment="1">
      <alignment vertical="center"/>
    </xf>
    <xf numFmtId="0" fontId="98" fillId="0" borderId="98" xfId="0" applyFont="1" applyBorder="1" applyAlignment="1">
      <alignment vertical="center"/>
    </xf>
    <xf numFmtId="0" fontId="98" fillId="0" borderId="99" xfId="0" applyFont="1" applyBorder="1" applyAlignment="1">
      <alignment vertical="center"/>
    </xf>
    <xf numFmtId="0" fontId="98" fillId="0" borderId="43" xfId="0" applyFont="1" applyBorder="1" applyAlignment="1">
      <alignment vertical="center"/>
    </xf>
    <xf numFmtId="0" fontId="98" fillId="0" borderId="100" xfId="0" applyFont="1" applyBorder="1" applyAlignment="1">
      <alignment vertical="center"/>
    </xf>
    <xf numFmtId="0" fontId="98" fillId="0" borderId="101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 wrapText="1"/>
    </xf>
    <xf numFmtId="0" fontId="98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8" fillId="0" borderId="102" xfId="0" applyFont="1" applyBorder="1" applyAlignment="1">
      <alignment vertical="center"/>
    </xf>
    <xf numFmtId="0" fontId="98" fillId="0" borderId="103" xfId="0" applyFont="1" applyBorder="1" applyAlignment="1">
      <alignment vertical="center"/>
    </xf>
    <xf numFmtId="3" fontId="98" fillId="0" borderId="104" xfId="0" applyNumberFormat="1" applyFont="1" applyBorder="1" applyAlignment="1">
      <alignment vertical="center"/>
    </xf>
    <xf numFmtId="0" fontId="98" fillId="0" borderId="105" xfId="0" applyFont="1" applyBorder="1" applyAlignment="1">
      <alignment vertical="center"/>
    </xf>
    <xf numFmtId="0" fontId="98" fillId="0" borderId="106" xfId="0" applyFont="1" applyBorder="1" applyAlignment="1">
      <alignment vertical="center"/>
    </xf>
    <xf numFmtId="0" fontId="98" fillId="0" borderId="25" xfId="0" applyFont="1" applyBorder="1" applyAlignment="1">
      <alignment vertical="center"/>
    </xf>
    <xf numFmtId="0" fontId="98" fillId="0" borderId="26" xfId="0" applyFont="1" applyBorder="1" applyAlignment="1">
      <alignment vertical="center"/>
    </xf>
    <xf numFmtId="3" fontId="98" fillId="0" borderId="96" xfId="0" applyNumberFormat="1" applyFont="1" applyFill="1" applyBorder="1" applyAlignment="1">
      <alignment vertical="center"/>
    </xf>
    <xf numFmtId="0" fontId="100" fillId="0" borderId="0" xfId="0" applyFont="1" applyAlignment="1">
      <alignment vertical="center"/>
    </xf>
    <xf numFmtId="0" fontId="98" fillId="0" borderId="107" xfId="0" applyFont="1" applyBorder="1" applyAlignment="1">
      <alignment horizontal="center" vertical="center" wrapText="1"/>
    </xf>
    <xf numFmtId="0" fontId="98" fillId="0" borderId="107" xfId="0" applyFont="1" applyBorder="1" applyAlignment="1">
      <alignment vertical="center" wrapText="1"/>
    </xf>
    <xf numFmtId="3" fontId="98" fillId="0" borderId="107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3" fontId="98" fillId="0" borderId="108" xfId="0" applyNumberFormat="1" applyFont="1" applyBorder="1" applyAlignment="1">
      <alignment vertical="center"/>
    </xf>
    <xf numFmtId="3" fontId="98" fillId="0" borderId="109" xfId="0" applyNumberFormat="1" applyFont="1" applyBorder="1" applyAlignment="1">
      <alignment vertical="center"/>
    </xf>
    <xf numFmtId="3" fontId="98" fillId="0" borderId="107" xfId="0" applyNumberFormat="1" applyFont="1" applyBorder="1" applyAlignment="1">
      <alignment vertical="center"/>
    </xf>
    <xf numFmtId="3" fontId="98" fillId="0" borderId="110" xfId="0" applyNumberFormat="1" applyFont="1" applyBorder="1" applyAlignment="1">
      <alignment vertical="center"/>
    </xf>
    <xf numFmtId="0" fontId="98" fillId="0" borderId="111" xfId="0" applyFont="1" applyBorder="1" applyAlignment="1">
      <alignment horizontal="center" vertical="center" wrapText="1"/>
    </xf>
    <xf numFmtId="0" fontId="98" fillId="0" borderId="111" xfId="0" applyFont="1" applyBorder="1" applyAlignment="1">
      <alignment vertical="center" wrapText="1"/>
    </xf>
    <xf numFmtId="3" fontId="98" fillId="0" borderId="111" xfId="0" applyNumberFormat="1" applyFont="1" applyBorder="1" applyAlignment="1">
      <alignment vertical="center"/>
    </xf>
    <xf numFmtId="3" fontId="98" fillId="0" borderId="112" xfId="0" applyNumberFormat="1" applyFont="1" applyBorder="1" applyAlignment="1">
      <alignment vertical="center"/>
    </xf>
    <xf numFmtId="0" fontId="102" fillId="0" borderId="0" xfId="0" applyFont="1" applyAlignment="1">
      <alignment vertical="center"/>
    </xf>
    <xf numFmtId="0" fontId="102" fillId="0" borderId="25" xfId="0" applyFont="1" applyFill="1" applyBorder="1" applyAlignment="1">
      <alignment vertical="center" wrapText="1"/>
    </xf>
    <xf numFmtId="0" fontId="102" fillId="0" borderId="26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113" xfId="0" applyFont="1" applyBorder="1" applyAlignment="1">
      <alignment horizontal="center" vertical="center" wrapText="1"/>
    </xf>
    <xf numFmtId="0" fontId="98" fillId="0" borderId="108" xfId="0" applyFont="1" applyBorder="1" applyAlignment="1">
      <alignment vertical="center" wrapText="1"/>
    </xf>
    <xf numFmtId="3" fontId="98" fillId="0" borderId="108" xfId="0" applyNumberFormat="1" applyFont="1" applyBorder="1" applyAlignment="1">
      <alignment horizontal="right" vertical="center" wrapText="1"/>
    </xf>
    <xf numFmtId="0" fontId="98" fillId="0" borderId="114" xfId="0" applyFont="1" applyBorder="1" applyAlignment="1">
      <alignment horizontal="center" vertical="center" wrapText="1"/>
    </xf>
    <xf numFmtId="0" fontId="98" fillId="0" borderId="115" xfId="0" applyFont="1" applyBorder="1" applyAlignment="1">
      <alignment horizontal="center" vertical="center" wrapText="1"/>
    </xf>
    <xf numFmtId="0" fontId="98" fillId="0" borderId="116" xfId="0" applyFont="1" applyBorder="1" applyAlignment="1">
      <alignment vertical="center" wrapText="1"/>
    </xf>
    <xf numFmtId="3" fontId="98" fillId="0" borderId="116" xfId="0" applyNumberFormat="1" applyFont="1" applyBorder="1" applyAlignment="1">
      <alignment horizontal="right" vertical="center" wrapText="1"/>
    </xf>
    <xf numFmtId="3" fontId="98" fillId="0" borderId="93" xfId="0" applyNumberFormat="1" applyFont="1" applyBorder="1" applyAlignment="1">
      <alignment vertical="center"/>
    </xf>
    <xf numFmtId="1" fontId="103" fillId="0" borderId="12" xfId="77" applyNumberFormat="1" applyFont="1" applyFill="1" applyBorder="1" applyAlignment="1">
      <alignment horizontal="center" vertical="center"/>
      <protection/>
    </xf>
    <xf numFmtId="1" fontId="103" fillId="0" borderId="20" xfId="77" applyNumberFormat="1" applyFont="1" applyFill="1" applyBorder="1" applyAlignment="1">
      <alignment horizontal="center" vertical="center"/>
      <protection/>
    </xf>
    <xf numFmtId="164" fontId="20" fillId="0" borderId="0" xfId="49" applyNumberFormat="1" applyFont="1" applyFill="1" applyBorder="1" applyAlignment="1">
      <alignment vertical="center"/>
      <protection/>
    </xf>
    <xf numFmtId="0" fontId="20" fillId="0" borderId="0" xfId="49" applyFont="1" applyFill="1" applyBorder="1" applyAlignment="1">
      <alignment vertical="center"/>
      <protection/>
    </xf>
    <xf numFmtId="0" fontId="20" fillId="0" borderId="0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1" fillId="0" borderId="0" xfId="49" applyFill="1" applyBorder="1" applyAlignment="1">
      <alignment vertical="center"/>
      <protection/>
    </xf>
    <xf numFmtId="0" fontId="20" fillId="0" borderId="0" xfId="49" applyFont="1" applyFill="1" applyBorder="1" applyAlignment="1">
      <alignment vertical="center" wrapText="1"/>
      <protection/>
    </xf>
    <xf numFmtId="164" fontId="22" fillId="0" borderId="0" xfId="80" applyNumberFormat="1" applyFont="1" applyFill="1" applyBorder="1" applyAlignment="1" applyProtection="1">
      <alignment horizontal="right" vertical="center"/>
      <protection/>
    </xf>
    <xf numFmtId="167" fontId="20" fillId="0" borderId="0" xfId="49" applyNumberFormat="1" applyFont="1" applyFill="1" applyBorder="1" applyAlignment="1">
      <alignment vertical="center"/>
      <protection/>
    </xf>
    <xf numFmtId="0" fontId="0" fillId="0" borderId="0" xfId="50" applyFill="1" applyBorder="1">
      <alignment/>
      <protection/>
    </xf>
    <xf numFmtId="0" fontId="11" fillId="0" borderId="0" xfId="67" applyFill="1" applyBorder="1">
      <alignment/>
      <protection/>
    </xf>
    <xf numFmtId="10" fontId="20" fillId="0" borderId="0" xfId="49" applyNumberFormat="1" applyFont="1" applyFill="1" applyBorder="1" applyAlignment="1">
      <alignment vertical="center"/>
      <protection/>
    </xf>
    <xf numFmtId="167" fontId="20" fillId="0" borderId="0" xfId="59" applyNumberFormat="1" applyFont="1" applyFill="1" applyBorder="1" applyAlignment="1" applyProtection="1">
      <alignment horizontal="right" vertical="center"/>
      <protection/>
    </xf>
    <xf numFmtId="0" fontId="11" fillId="0" borderId="0" xfId="59" applyFill="1" applyBorder="1" applyAlignment="1">
      <alignment vertical="center"/>
      <protection/>
    </xf>
    <xf numFmtId="169" fontId="23" fillId="0" borderId="0" xfId="49" applyNumberFormat="1" applyFont="1" applyFill="1" applyBorder="1" applyAlignment="1">
      <alignment horizontal="center" vertical="center"/>
      <protection/>
    </xf>
    <xf numFmtId="169" fontId="24" fillId="0" borderId="0" xfId="49" applyNumberFormat="1" applyFont="1" applyFill="1" applyBorder="1" applyAlignment="1">
      <alignment horizontal="center" vertical="center"/>
      <protection/>
    </xf>
    <xf numFmtId="3" fontId="11" fillId="0" borderId="0" xfId="49" applyNumberFormat="1" applyFont="1" applyFill="1" applyBorder="1" applyAlignment="1">
      <alignment vertical="center"/>
      <protection/>
    </xf>
    <xf numFmtId="170" fontId="23" fillId="0" borderId="0" xfId="49" applyNumberFormat="1" applyFont="1" applyFill="1" applyBorder="1" applyAlignment="1">
      <alignment horizontal="center" vertical="center"/>
      <protection/>
    </xf>
    <xf numFmtId="4" fontId="11" fillId="0" borderId="0" xfId="49" applyNumberFormat="1" applyFont="1" applyFill="1" applyBorder="1" applyAlignment="1">
      <alignment vertical="center"/>
      <protection/>
    </xf>
    <xf numFmtId="170" fontId="11" fillId="0" borderId="0" xfId="49" applyNumberFormat="1" applyFont="1" applyFill="1" applyBorder="1" applyAlignment="1">
      <alignment vertical="center"/>
      <protection/>
    </xf>
    <xf numFmtId="0" fontId="41" fillId="0" borderId="0" xfId="46" applyFont="1" applyFill="1" applyBorder="1" applyAlignment="1">
      <alignment vertical="center"/>
      <protection/>
    </xf>
    <xf numFmtId="3" fontId="11" fillId="0" borderId="105" xfId="49" applyNumberFormat="1" applyFont="1" applyFill="1" applyBorder="1" applyAlignment="1">
      <alignment vertical="center"/>
      <protection/>
    </xf>
    <xf numFmtId="3" fontId="11" fillId="0" borderId="90" xfId="49" applyNumberFormat="1" applyFont="1" applyFill="1" applyBorder="1" applyAlignment="1">
      <alignment vertical="center"/>
      <protection/>
    </xf>
    <xf numFmtId="10" fontId="50" fillId="0" borderId="55" xfId="49" applyNumberFormat="1" applyFont="1" applyFill="1" applyBorder="1" applyAlignment="1">
      <alignment vertical="center"/>
      <protection/>
    </xf>
    <xf numFmtId="3" fontId="98" fillId="0" borderId="55" xfId="50" applyNumberFormat="1" applyFont="1" applyFill="1" applyBorder="1" applyAlignment="1">
      <alignment vertical="center"/>
      <protection/>
    </xf>
    <xf numFmtId="10" fontId="50" fillId="0" borderId="89" xfId="49" applyNumberFormat="1" applyFont="1" applyFill="1" applyBorder="1" applyAlignment="1">
      <alignment vertical="center"/>
      <protection/>
    </xf>
    <xf numFmtId="3" fontId="11" fillId="0" borderId="99" xfId="49" applyNumberFormat="1" applyFont="1" applyFill="1" applyBorder="1" applyAlignment="1">
      <alignment vertical="center"/>
      <protection/>
    </xf>
    <xf numFmtId="3" fontId="11" fillId="0" borderId="24" xfId="49" applyNumberFormat="1" applyFont="1" applyFill="1" applyBorder="1" applyAlignment="1">
      <alignment vertical="center"/>
      <protection/>
    </xf>
    <xf numFmtId="10" fontId="50" fillId="0" borderId="38" xfId="49" applyNumberFormat="1" applyFont="1" applyFill="1" applyBorder="1" applyAlignment="1">
      <alignment vertical="center"/>
      <protection/>
    </xf>
    <xf numFmtId="3" fontId="98" fillId="0" borderId="38" xfId="50" applyNumberFormat="1" applyFont="1" applyFill="1" applyBorder="1" applyAlignment="1">
      <alignment vertical="center"/>
      <protection/>
    </xf>
    <xf numFmtId="10" fontId="50" fillId="0" borderId="96" xfId="49" applyNumberFormat="1" applyFont="1" applyFill="1" applyBorder="1" applyAlignment="1">
      <alignment vertical="center"/>
      <protection/>
    </xf>
    <xf numFmtId="3" fontId="11" fillId="0" borderId="100" xfId="49" applyNumberFormat="1" applyFont="1" applyFill="1" applyBorder="1" applyAlignment="1">
      <alignment vertical="center"/>
      <protection/>
    </xf>
    <xf numFmtId="3" fontId="11" fillId="0" borderId="97" xfId="49" applyNumberFormat="1" applyFont="1" applyFill="1" applyBorder="1" applyAlignment="1">
      <alignment vertical="center"/>
      <protection/>
    </xf>
    <xf numFmtId="10" fontId="50" fillId="0" borderId="19" xfId="49" applyNumberFormat="1" applyFont="1" applyFill="1" applyBorder="1" applyAlignment="1">
      <alignment vertical="center"/>
      <protection/>
    </xf>
    <xf numFmtId="3" fontId="98" fillId="0" borderId="19" xfId="50" applyNumberFormat="1" applyFont="1" applyFill="1" applyBorder="1" applyAlignment="1">
      <alignment vertical="center"/>
      <protection/>
    </xf>
    <xf numFmtId="10" fontId="50" fillId="0" borderId="93" xfId="49" applyNumberFormat="1" applyFont="1" applyFill="1" applyBorder="1" applyAlignment="1">
      <alignment vertical="center"/>
      <protection/>
    </xf>
    <xf numFmtId="3" fontId="98" fillId="0" borderId="18" xfId="50" applyNumberFormat="1" applyFont="1" applyFill="1" applyBorder="1" applyAlignment="1">
      <alignment vertical="center"/>
      <protection/>
    </xf>
    <xf numFmtId="3" fontId="50" fillId="0" borderId="12" xfId="50" applyNumberFormat="1" applyFont="1" applyFill="1" applyBorder="1" applyAlignment="1">
      <alignment vertical="center"/>
      <protection/>
    </xf>
    <xf numFmtId="3" fontId="98" fillId="0" borderId="12" xfId="50" applyNumberFormat="1" applyFont="1" applyFill="1" applyBorder="1" applyAlignment="1">
      <alignment vertical="center"/>
      <protection/>
    </xf>
    <xf numFmtId="9" fontId="50" fillId="0" borderId="20" xfId="50" applyNumberFormat="1" applyFont="1" applyFill="1" applyBorder="1" applyAlignment="1">
      <alignment vertical="center"/>
      <protection/>
    </xf>
    <xf numFmtId="0" fontId="102" fillId="0" borderId="0" xfId="50" applyFont="1" applyAlignment="1">
      <alignment vertical="center"/>
      <protection/>
    </xf>
    <xf numFmtId="0" fontId="98" fillId="0" borderId="0" xfId="50" applyFont="1" applyAlignment="1">
      <alignment vertical="center"/>
      <protection/>
    </xf>
    <xf numFmtId="3" fontId="98" fillId="0" borderId="0" xfId="50" applyNumberFormat="1" applyFont="1" applyAlignment="1">
      <alignment vertical="center"/>
      <protection/>
    </xf>
    <xf numFmtId="0" fontId="98" fillId="0" borderId="42" xfId="50" applyFont="1" applyBorder="1" applyAlignment="1">
      <alignment vertical="center"/>
      <protection/>
    </xf>
    <xf numFmtId="3" fontId="98" fillId="0" borderId="39" xfId="50" applyNumberFormat="1" applyFont="1" applyBorder="1" applyAlignment="1">
      <alignment vertical="center"/>
      <protection/>
    </xf>
    <xf numFmtId="0" fontId="98" fillId="0" borderId="0" xfId="50" applyFont="1" applyAlignment="1">
      <alignment horizontal="center" vertical="center" wrapText="1"/>
      <protection/>
    </xf>
    <xf numFmtId="0" fontId="98" fillId="0" borderId="0" xfId="50" applyFont="1" applyAlignment="1">
      <alignment vertical="center" wrapText="1"/>
      <protection/>
    </xf>
    <xf numFmtId="0" fontId="98" fillId="0" borderId="103" xfId="50" applyFont="1" applyFill="1" applyBorder="1" applyAlignment="1">
      <alignment vertical="center"/>
      <protection/>
    </xf>
    <xf numFmtId="0" fontId="98" fillId="0" borderId="0" xfId="50" applyFont="1" applyFill="1" applyBorder="1" applyAlignment="1">
      <alignment vertical="center"/>
      <protection/>
    </xf>
    <xf numFmtId="0" fontId="98" fillId="0" borderId="25" xfId="50" applyFont="1" applyFill="1" applyBorder="1" applyAlignment="1">
      <alignment vertical="center"/>
      <protection/>
    </xf>
    <xf numFmtId="3" fontId="98" fillId="7" borderId="55" xfId="50" applyNumberFormat="1" applyFont="1" applyFill="1" applyBorder="1" applyAlignment="1">
      <alignment vertical="center"/>
      <protection/>
    </xf>
    <xf numFmtId="3" fontId="98" fillId="7" borderId="38" xfId="50" applyNumberFormat="1" applyFont="1" applyFill="1" applyBorder="1" applyAlignment="1">
      <alignment vertical="center"/>
      <protection/>
    </xf>
    <xf numFmtId="3" fontId="98" fillId="7" borderId="19" xfId="50" applyNumberFormat="1" applyFont="1" applyFill="1" applyBorder="1" applyAlignment="1">
      <alignment vertical="center"/>
      <protection/>
    </xf>
    <xf numFmtId="3" fontId="98" fillId="7" borderId="12" xfId="50" applyNumberFormat="1" applyFont="1" applyFill="1" applyBorder="1" applyAlignment="1">
      <alignment vertical="center"/>
      <protection/>
    </xf>
    <xf numFmtId="0" fontId="0" fillId="0" borderId="43" xfId="0" applyFill="1" applyBorder="1" applyAlignment="1">
      <alignment/>
    </xf>
    <xf numFmtId="3" fontId="20" fillId="0" borderId="117" xfId="49" applyNumberFormat="1" applyFont="1" applyFill="1" applyBorder="1" applyAlignment="1" applyProtection="1">
      <alignment horizontal="right" vertical="center"/>
      <protection/>
    </xf>
    <xf numFmtId="164" fontId="18" fillId="0" borderId="118" xfId="80" applyNumberFormat="1" applyFont="1" applyFill="1" applyBorder="1" applyAlignment="1" applyProtection="1">
      <alignment horizontal="right" vertical="center"/>
      <protection/>
    </xf>
    <xf numFmtId="3" fontId="20" fillId="0" borderId="117" xfId="49" applyNumberFormat="1" applyFont="1" applyFill="1" applyBorder="1" applyAlignment="1">
      <alignment horizontal="right" vertical="center"/>
      <protection/>
    </xf>
    <xf numFmtId="3" fontId="20" fillId="0" borderId="119" xfId="49" applyNumberFormat="1" applyFont="1" applyFill="1" applyBorder="1" applyAlignment="1" applyProtection="1">
      <alignment horizontal="right" vertical="center"/>
      <protection/>
    </xf>
    <xf numFmtId="164" fontId="18" fillId="0" borderId="120" xfId="80" applyNumberFormat="1" applyFont="1" applyFill="1" applyBorder="1" applyAlignment="1" applyProtection="1">
      <alignment horizontal="right" vertical="center"/>
      <protection/>
    </xf>
    <xf numFmtId="49" fontId="18" fillId="0" borderId="120" xfId="49" applyNumberFormat="1" applyFont="1" applyFill="1" applyBorder="1" applyAlignment="1" applyProtection="1">
      <alignment horizontal="left" vertical="center"/>
      <protection/>
    </xf>
    <xf numFmtId="0" fontId="20" fillId="0" borderId="120" xfId="49" applyFont="1" applyFill="1" applyBorder="1" applyAlignment="1">
      <alignment vertical="center"/>
      <protection/>
    </xf>
    <xf numFmtId="164" fontId="18" fillId="0" borderId="121" xfId="8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64" fontId="18" fillId="0" borderId="26" xfId="49" applyNumberFormat="1" applyFont="1" applyFill="1" applyBorder="1" applyAlignment="1">
      <alignment horizontal="center" vertical="center"/>
      <protection/>
    </xf>
    <xf numFmtId="164" fontId="20" fillId="0" borderId="25" xfId="49" applyNumberFormat="1" applyFont="1" applyFill="1" applyBorder="1" applyAlignment="1">
      <alignment horizontal="center" vertical="center"/>
      <protection/>
    </xf>
    <xf numFmtId="164" fontId="20" fillId="0" borderId="26" xfId="49" applyNumberFormat="1" applyFont="1" applyFill="1" applyBorder="1" applyAlignment="1">
      <alignment horizontal="center" vertical="center"/>
      <protection/>
    </xf>
    <xf numFmtId="164" fontId="18" fillId="0" borderId="26" xfId="49" applyNumberFormat="1" applyFont="1" applyFill="1" applyBorder="1" applyAlignment="1" applyProtection="1">
      <alignment vertical="center" wrapText="1"/>
      <protection/>
    </xf>
    <xf numFmtId="164" fontId="18" fillId="8" borderId="91" xfId="80" applyNumberFormat="1" applyFont="1" applyFill="1" applyBorder="1" applyAlignment="1" applyProtection="1">
      <alignment horizontal="right" vertical="center"/>
      <protection/>
    </xf>
    <xf numFmtId="164" fontId="20" fillId="0" borderId="25" xfId="49" applyNumberFormat="1" applyFont="1" applyFill="1" applyBorder="1" applyAlignment="1">
      <alignment vertical="center"/>
      <protection/>
    </xf>
    <xf numFmtId="164" fontId="18" fillId="0" borderId="26" xfId="80" applyNumberFormat="1" applyFont="1" applyFill="1" applyBorder="1" applyAlignment="1" applyProtection="1">
      <alignment horizontal="right" vertical="center"/>
      <protection/>
    </xf>
    <xf numFmtId="164" fontId="20" fillId="0" borderId="26" xfId="49" applyNumberFormat="1" applyFont="1" applyFill="1" applyBorder="1" applyAlignment="1">
      <alignment vertical="center"/>
      <protection/>
    </xf>
    <xf numFmtId="164" fontId="18" fillId="13" borderId="26" xfId="80" applyNumberFormat="1" applyFont="1" applyFill="1" applyBorder="1" applyAlignment="1" applyProtection="1">
      <alignment horizontal="right" vertical="center"/>
      <protection/>
    </xf>
    <xf numFmtId="164" fontId="18" fillId="13" borderId="91" xfId="80" applyNumberFormat="1" applyFont="1" applyFill="1" applyBorder="1" applyAlignment="1" applyProtection="1">
      <alignment horizontal="right" vertical="center"/>
      <protection/>
    </xf>
    <xf numFmtId="3" fontId="104" fillId="9" borderId="91" xfId="50" applyNumberFormat="1" applyFont="1" applyFill="1" applyBorder="1" applyAlignment="1">
      <alignment vertical="center"/>
      <protection/>
    </xf>
    <xf numFmtId="0" fontId="19" fillId="0" borderId="99" xfId="0" applyFont="1" applyFill="1" applyBorder="1" applyAlignment="1">
      <alignment vertical="center" wrapText="1"/>
    </xf>
    <xf numFmtId="9" fontId="19" fillId="0" borderId="29" xfId="0" applyNumberFormat="1" applyFont="1" applyFill="1" applyBorder="1" applyAlignment="1">
      <alignment horizontal="right" vertical="center" wrapText="1"/>
    </xf>
    <xf numFmtId="0" fontId="27" fillId="0" borderId="99" xfId="0" applyFont="1" applyFill="1" applyBorder="1" applyAlignment="1">
      <alignment vertical="center" wrapText="1"/>
    </xf>
    <xf numFmtId="164" fontId="27" fillId="0" borderId="29" xfId="0" applyNumberFormat="1" applyFont="1" applyFill="1" applyBorder="1" applyAlignment="1">
      <alignment horizontal="right" vertical="center" wrapText="1"/>
    </xf>
    <xf numFmtId="0" fontId="27" fillId="0" borderId="100" xfId="0" applyFont="1" applyFill="1" applyBorder="1" applyAlignment="1">
      <alignment vertical="center" wrapText="1"/>
    </xf>
    <xf numFmtId="164" fontId="27" fillId="0" borderId="122" xfId="0" applyNumberFormat="1" applyFont="1" applyFill="1" applyBorder="1" applyAlignment="1">
      <alignment horizontal="right" vertical="center" wrapText="1"/>
    </xf>
    <xf numFmtId="0" fontId="19" fillId="4" borderId="99" xfId="0" applyFont="1" applyFill="1" applyBorder="1" applyAlignment="1">
      <alignment horizontal="justify" vertical="center" wrapText="1"/>
    </xf>
    <xf numFmtId="164" fontId="19" fillId="4" borderId="29" xfId="0" applyNumberFormat="1" applyFont="1" applyFill="1" applyBorder="1" applyAlignment="1">
      <alignment horizontal="right" vertical="center" wrapText="1"/>
    </xf>
    <xf numFmtId="0" fontId="19" fillId="2" borderId="99" xfId="0" applyFont="1" applyFill="1" applyBorder="1" applyAlignment="1">
      <alignment vertical="center" wrapText="1"/>
    </xf>
    <xf numFmtId="164" fontId="19" fillId="2" borderId="29" xfId="0" applyNumberFormat="1" applyFont="1" applyFill="1" applyBorder="1" applyAlignment="1">
      <alignment horizontal="right" vertical="center" wrapText="1"/>
    </xf>
    <xf numFmtId="0" fontId="19" fillId="7" borderId="99" xfId="0" applyFont="1" applyFill="1" applyBorder="1" applyAlignment="1">
      <alignment vertical="center" wrapText="1"/>
    </xf>
    <xf numFmtId="164" fontId="19" fillId="7" borderId="29" xfId="0" applyNumberFormat="1" applyFont="1" applyFill="1" applyBorder="1" applyAlignment="1">
      <alignment horizontal="right" vertical="center" wrapText="1"/>
    </xf>
    <xf numFmtId="49" fontId="20" fillId="0" borderId="117" xfId="49" applyNumberFormat="1" applyFont="1" applyFill="1" applyBorder="1" applyAlignment="1" applyProtection="1">
      <alignment horizontal="center" vertical="center"/>
      <protection/>
    </xf>
    <xf numFmtId="49" fontId="18" fillId="0" borderId="118" xfId="49" applyNumberFormat="1" applyFont="1" applyFill="1" applyBorder="1" applyAlignment="1" applyProtection="1">
      <alignment horizontal="left" vertical="center"/>
      <protection/>
    </xf>
    <xf numFmtId="49" fontId="20" fillId="0" borderId="119" xfId="49" applyNumberFormat="1" applyFont="1" applyFill="1" applyBorder="1" applyAlignment="1" applyProtection="1">
      <alignment horizontal="center" vertical="center"/>
      <protection/>
    </xf>
    <xf numFmtId="49" fontId="18" fillId="0" borderId="121" xfId="49" applyNumberFormat="1" applyFont="1" applyFill="1" applyBorder="1" applyAlignment="1" applyProtection="1">
      <alignment horizontal="left" vertical="center"/>
      <protection/>
    </xf>
    <xf numFmtId="0" fontId="0" fillId="0" borderId="88" xfId="0" applyFill="1" applyBorder="1" applyAlignment="1">
      <alignment/>
    </xf>
    <xf numFmtId="0" fontId="0" fillId="0" borderId="98" xfId="0" applyFill="1" applyBorder="1" applyAlignment="1">
      <alignment/>
    </xf>
    <xf numFmtId="164" fontId="18" fillId="0" borderId="98" xfId="80" applyNumberFormat="1" applyFont="1" applyFill="1" applyBorder="1" applyAlignment="1" applyProtection="1">
      <alignment horizontal="right" vertical="center"/>
      <protection/>
    </xf>
    <xf numFmtId="0" fontId="20" fillId="0" borderId="98" xfId="49" applyFont="1" applyFill="1" applyBorder="1" applyAlignment="1">
      <alignment horizontal="center" vertical="center" wrapText="1"/>
      <protection/>
    </xf>
    <xf numFmtId="164" fontId="18" fillId="0" borderId="123" xfId="80" applyNumberFormat="1" applyFont="1" applyFill="1" applyBorder="1" applyAlignment="1" applyProtection="1">
      <alignment horizontal="right" vertical="center"/>
      <protection/>
    </xf>
    <xf numFmtId="164" fontId="18" fillId="10" borderId="124" xfId="80" applyNumberFormat="1" applyFont="1" applyFill="1" applyBorder="1" applyAlignment="1" applyProtection="1">
      <alignment horizontal="right" vertical="center"/>
      <protection/>
    </xf>
    <xf numFmtId="164" fontId="18" fillId="0" borderId="125" xfId="80" applyNumberFormat="1" applyFont="1" applyFill="1" applyBorder="1" applyAlignment="1" applyProtection="1">
      <alignment horizontal="right" vertical="center"/>
      <protection/>
    </xf>
    <xf numFmtId="164" fontId="18" fillId="0" borderId="126" xfId="80" applyNumberFormat="1" applyFont="1" applyFill="1" applyBorder="1" applyAlignment="1" applyProtection="1">
      <alignment horizontal="right" vertical="center"/>
      <protection/>
    </xf>
    <xf numFmtId="164" fontId="18" fillId="0" borderId="127" xfId="80" applyNumberFormat="1" applyFont="1" applyFill="1" applyBorder="1" applyAlignment="1" applyProtection="1">
      <alignment horizontal="right" vertical="center"/>
      <protection/>
    </xf>
    <xf numFmtId="49" fontId="20" fillId="0" borderId="102" xfId="49" applyNumberFormat="1" applyFont="1" applyFill="1" applyBorder="1" applyAlignment="1" applyProtection="1">
      <alignment horizontal="center" vertical="center"/>
      <protection/>
    </xf>
    <xf numFmtId="49" fontId="18" fillId="0" borderId="128" xfId="49" applyNumberFormat="1" applyFont="1" applyFill="1" applyBorder="1" applyAlignment="1" applyProtection="1">
      <alignment horizontal="left" vertical="center"/>
      <protection/>
    </xf>
    <xf numFmtId="167" fontId="20" fillId="0" borderId="129" xfId="59" applyNumberFormat="1" applyFont="1" applyFill="1" applyBorder="1" applyAlignment="1" applyProtection="1">
      <alignment horizontal="right" vertical="center"/>
      <protection/>
    </xf>
    <xf numFmtId="164" fontId="20" fillId="0" borderId="130" xfId="80" applyNumberFormat="1" applyFont="1" applyFill="1" applyBorder="1" applyAlignment="1" applyProtection="1">
      <alignment horizontal="right" vertical="center"/>
      <protection/>
    </xf>
    <xf numFmtId="167" fontId="20" fillId="0" borderId="131" xfId="59" applyNumberFormat="1" applyFont="1" applyFill="1" applyBorder="1" applyAlignment="1" applyProtection="1">
      <alignment horizontal="right" vertical="center"/>
      <protection/>
    </xf>
    <xf numFmtId="164" fontId="20" fillId="0" borderId="106" xfId="80" applyNumberFormat="1" applyFont="1" applyFill="1" applyBorder="1" applyAlignment="1" applyProtection="1">
      <alignment horizontal="right" vertical="center"/>
      <protection/>
    </xf>
    <xf numFmtId="167" fontId="20" fillId="0" borderId="106" xfId="59" applyNumberFormat="1" applyFont="1" applyFill="1" applyBorder="1" applyAlignment="1" applyProtection="1">
      <alignment horizontal="right" vertical="center"/>
      <protection/>
    </xf>
    <xf numFmtId="164" fontId="20" fillId="0" borderId="132" xfId="80" applyNumberFormat="1" applyFont="1" applyFill="1" applyBorder="1" applyAlignment="1" applyProtection="1">
      <alignment horizontal="right" vertical="center"/>
      <protection/>
    </xf>
    <xf numFmtId="167" fontId="20" fillId="0" borderId="39" xfId="59" applyNumberFormat="1" applyFont="1" applyFill="1" applyBorder="1" applyAlignment="1" applyProtection="1">
      <alignment horizontal="right" vertical="center"/>
      <protection/>
    </xf>
    <xf numFmtId="167" fontId="20" fillId="0" borderId="43" xfId="59" applyNumberFormat="1" applyFont="1" applyFill="1" applyBorder="1" applyAlignment="1" applyProtection="1">
      <alignment horizontal="right" vertical="center"/>
      <protection/>
    </xf>
    <xf numFmtId="164" fontId="20" fillId="0" borderId="43" xfId="80" applyNumberFormat="1" applyFont="1" applyFill="1" applyBorder="1" applyAlignment="1" applyProtection="1">
      <alignment horizontal="right" vertical="center"/>
      <protection/>
    </xf>
    <xf numFmtId="164" fontId="20" fillId="0" borderId="42" xfId="80" applyNumberFormat="1" applyFont="1" applyFill="1" applyBorder="1" applyAlignment="1" applyProtection="1">
      <alignment horizontal="right" vertical="center"/>
      <protection/>
    </xf>
    <xf numFmtId="164" fontId="20" fillId="0" borderId="133" xfId="59" applyNumberFormat="1" applyFont="1" applyFill="1" applyBorder="1" applyAlignment="1" applyProtection="1">
      <alignment horizontal="right" vertical="center"/>
      <protection/>
    </xf>
    <xf numFmtId="164" fontId="20" fillId="0" borderId="134" xfId="80" applyNumberFormat="1" applyFont="1" applyFill="1" applyBorder="1" applyAlignment="1" applyProtection="1">
      <alignment horizontal="right" vertical="center"/>
      <protection/>
    </xf>
    <xf numFmtId="164" fontId="20" fillId="0" borderId="135" xfId="80" applyNumberFormat="1" applyFont="1" applyFill="1" applyBorder="1" applyAlignment="1" applyProtection="1">
      <alignment horizontal="right" vertical="center"/>
      <protection/>
    </xf>
    <xf numFmtId="164" fontId="20" fillId="0" borderId="136" xfId="59" applyNumberFormat="1" applyFont="1" applyFill="1" applyBorder="1" applyAlignment="1" applyProtection="1">
      <alignment horizontal="right" vertical="center"/>
      <protection/>
    </xf>
    <xf numFmtId="164" fontId="20" fillId="0" borderId="126" xfId="80" applyNumberFormat="1" applyFont="1" applyFill="1" applyBorder="1" applyAlignment="1" applyProtection="1">
      <alignment horizontal="right" vertical="center"/>
      <protection/>
    </xf>
    <xf numFmtId="164" fontId="20" fillId="0" borderId="137" xfId="80" applyNumberFormat="1" applyFont="1" applyFill="1" applyBorder="1" applyAlignment="1" applyProtection="1">
      <alignment horizontal="right" vertical="center"/>
      <protection/>
    </xf>
    <xf numFmtId="164" fontId="20" fillId="0" borderId="138" xfId="59" applyNumberFormat="1" applyFont="1" applyFill="1" applyBorder="1" applyAlignment="1" applyProtection="1">
      <alignment horizontal="right" vertical="center"/>
      <protection/>
    </xf>
    <xf numFmtId="164" fontId="20" fillId="0" borderId="139" xfId="80" applyNumberFormat="1" applyFont="1" applyFill="1" applyBorder="1" applyAlignment="1" applyProtection="1">
      <alignment horizontal="right" vertical="center"/>
      <protection/>
    </xf>
    <xf numFmtId="164" fontId="20" fillId="0" borderId="140" xfId="80" applyNumberFormat="1" applyFont="1" applyFill="1" applyBorder="1" applyAlignment="1" applyProtection="1">
      <alignment horizontal="right" vertical="center"/>
      <protection/>
    </xf>
    <xf numFmtId="164" fontId="18" fillId="0" borderId="141" xfId="80" applyNumberFormat="1" applyFont="1" applyFill="1" applyBorder="1" applyAlignment="1" applyProtection="1">
      <alignment horizontal="right" vertical="center"/>
      <protection/>
    </xf>
    <xf numFmtId="164" fontId="18" fillId="0" borderId="134" xfId="80" applyNumberFormat="1" applyFont="1" applyFill="1" applyBorder="1" applyAlignment="1" applyProtection="1">
      <alignment horizontal="right" vertical="center"/>
      <protection/>
    </xf>
    <xf numFmtId="164" fontId="18" fillId="0" borderId="142" xfId="80" applyNumberFormat="1" applyFont="1" applyFill="1" applyBorder="1" applyAlignment="1" applyProtection="1">
      <alignment horizontal="right" vertical="center"/>
      <protection/>
    </xf>
    <xf numFmtId="164" fontId="18" fillId="10" borderId="143" xfId="80" applyNumberFormat="1" applyFont="1" applyFill="1" applyBorder="1" applyAlignment="1" applyProtection="1">
      <alignment horizontal="right" vertical="center"/>
      <protection/>
    </xf>
    <xf numFmtId="167" fontId="20" fillId="0" borderId="119" xfId="59" applyNumberFormat="1" applyFont="1" applyFill="1" applyBorder="1" applyAlignment="1" applyProtection="1">
      <alignment horizontal="right" vertical="center"/>
      <protection/>
    </xf>
    <xf numFmtId="164" fontId="20" fillId="0" borderId="144" xfId="80" applyNumberFormat="1" applyFont="1" applyFill="1" applyBorder="1" applyAlignment="1" applyProtection="1">
      <alignment horizontal="right" vertical="center"/>
      <protection/>
    </xf>
    <xf numFmtId="167" fontId="20" fillId="0" borderId="145" xfId="59" applyNumberFormat="1" applyFont="1" applyFill="1" applyBorder="1" applyAlignment="1" applyProtection="1">
      <alignment horizontal="right" vertical="center"/>
      <protection/>
    </xf>
    <xf numFmtId="164" fontId="20" fillId="0" borderId="142" xfId="80" applyNumberFormat="1" applyFont="1" applyFill="1" applyBorder="1" applyAlignment="1" applyProtection="1">
      <alignment horizontal="right" vertical="center"/>
      <protection/>
    </xf>
    <xf numFmtId="167" fontId="20" fillId="0" borderId="120" xfId="59" applyNumberFormat="1" applyFont="1" applyFill="1" applyBorder="1" applyAlignment="1" applyProtection="1">
      <alignment horizontal="right" vertical="center"/>
      <protection/>
    </xf>
    <xf numFmtId="164" fontId="20" fillId="0" borderId="127" xfId="80" applyNumberFormat="1" applyFont="1" applyFill="1" applyBorder="1" applyAlignment="1" applyProtection="1">
      <alignment horizontal="right" vertical="center"/>
      <protection/>
    </xf>
    <xf numFmtId="49" fontId="18" fillId="0" borderId="99" xfId="49" applyNumberFormat="1" applyFont="1" applyFill="1" applyBorder="1" applyAlignment="1" applyProtection="1">
      <alignment horizontal="center" vertical="center"/>
      <protection/>
    </xf>
    <xf numFmtId="49" fontId="18" fillId="0" borderId="146" xfId="49" applyNumberFormat="1" applyFont="1" applyFill="1" applyBorder="1" applyAlignment="1" applyProtection="1">
      <alignment horizontal="left" vertical="center"/>
      <protection/>
    </xf>
    <xf numFmtId="49" fontId="20" fillId="0" borderId="105" xfId="49" applyNumberFormat="1" applyFont="1" applyFill="1" applyBorder="1" applyAlignment="1" applyProtection="1">
      <alignment horizontal="center" vertical="center"/>
      <protection/>
    </xf>
    <xf numFmtId="49" fontId="18" fillId="0" borderId="147" xfId="49" applyNumberFormat="1" applyFont="1" applyFill="1" applyBorder="1" applyAlignment="1" applyProtection="1">
      <alignment horizontal="left" vertical="center"/>
      <protection/>
    </xf>
    <xf numFmtId="0" fontId="20" fillId="2" borderId="148" xfId="49" applyFont="1" applyFill="1" applyBorder="1" applyAlignment="1">
      <alignment horizontal="center" vertical="center"/>
      <protection/>
    </xf>
    <xf numFmtId="0" fontId="20" fillId="2" borderId="149" xfId="49" applyFont="1" applyFill="1" applyBorder="1" applyAlignment="1">
      <alignment horizontal="center" vertical="center"/>
      <protection/>
    </xf>
    <xf numFmtId="168" fontId="20" fillId="0" borderId="150" xfId="49" applyNumberFormat="1" applyFont="1" applyFill="1" applyBorder="1" applyAlignment="1" applyProtection="1">
      <alignment horizontal="right" vertical="center"/>
      <protection/>
    </xf>
    <xf numFmtId="167" fontId="20" fillId="0" borderId="150" xfId="49" applyNumberFormat="1" applyFont="1" applyFill="1" applyBorder="1" applyAlignment="1" applyProtection="1">
      <alignment horizontal="right" vertical="center"/>
      <protection/>
    </xf>
    <xf numFmtId="168" fontId="20" fillId="0" borderId="151" xfId="49" applyNumberFormat="1" applyFont="1" applyFill="1" applyBorder="1" applyAlignment="1" applyProtection="1">
      <alignment horizontal="right" vertical="center"/>
      <protection/>
    </xf>
    <xf numFmtId="168" fontId="20" fillId="0" borderId="152" xfId="49" applyNumberFormat="1" applyFont="1" applyFill="1" applyBorder="1" applyAlignment="1" applyProtection="1">
      <alignment horizontal="right" vertical="center"/>
      <protection/>
    </xf>
    <xf numFmtId="168" fontId="20" fillId="0" borderId="153" xfId="49" applyNumberFormat="1" applyFont="1" applyFill="1" applyBorder="1" applyAlignment="1" applyProtection="1">
      <alignment horizontal="right" vertical="center"/>
      <protection/>
    </xf>
    <xf numFmtId="167" fontId="20" fillId="0" borderId="153" xfId="49" applyNumberFormat="1" applyFont="1" applyFill="1" applyBorder="1" applyAlignment="1" applyProtection="1">
      <alignment horizontal="right" vertical="center"/>
      <protection/>
    </xf>
    <xf numFmtId="168" fontId="20" fillId="0" borderId="154" xfId="49" applyNumberFormat="1" applyFont="1" applyFill="1" applyBorder="1" applyAlignment="1" applyProtection="1">
      <alignment horizontal="right" vertical="center"/>
      <protection/>
    </xf>
    <xf numFmtId="168" fontId="20" fillId="0" borderId="155" xfId="49" applyNumberFormat="1" applyFont="1" applyFill="1" applyBorder="1" applyAlignment="1" applyProtection="1">
      <alignment horizontal="right" vertical="center"/>
      <protection/>
    </xf>
    <xf numFmtId="167" fontId="20" fillId="0" borderId="155" xfId="49" applyNumberFormat="1" applyFont="1" applyFill="1" applyBorder="1" applyAlignment="1" applyProtection="1">
      <alignment horizontal="right" vertical="center"/>
      <protection/>
    </xf>
    <xf numFmtId="164" fontId="20" fillId="0" borderId="133" xfId="80" applyNumberFormat="1" applyFont="1" applyFill="1" applyBorder="1" applyAlignment="1" applyProtection="1">
      <alignment horizontal="right" vertical="center"/>
      <protection/>
    </xf>
    <xf numFmtId="0" fontId="0" fillId="0" borderId="151" xfId="0" applyFill="1" applyBorder="1" applyAlignment="1">
      <alignment/>
    </xf>
    <xf numFmtId="0" fontId="0" fillId="0" borderId="150" xfId="0" applyFill="1" applyBorder="1" applyAlignment="1">
      <alignment/>
    </xf>
    <xf numFmtId="0" fontId="0" fillId="0" borderId="156" xfId="0" applyFill="1" applyBorder="1" applyAlignment="1">
      <alignment/>
    </xf>
    <xf numFmtId="0" fontId="0" fillId="0" borderId="157" xfId="0" applyFill="1" applyBorder="1" applyAlignment="1">
      <alignment/>
    </xf>
    <xf numFmtId="0" fontId="20" fillId="0" borderId="158" xfId="49" applyFont="1" applyFill="1" applyBorder="1" applyAlignment="1">
      <alignment horizontal="center" vertical="center" wrapText="1"/>
      <protection/>
    </xf>
    <xf numFmtId="0" fontId="20" fillId="0" borderId="159" xfId="49" applyFont="1" applyFill="1" applyBorder="1" applyAlignment="1">
      <alignment horizontal="center" vertical="center" wrapText="1"/>
      <protection/>
    </xf>
    <xf numFmtId="0" fontId="20" fillId="2" borderId="160" xfId="49" applyFont="1" applyFill="1" applyBorder="1" applyAlignment="1">
      <alignment horizontal="center" vertical="center"/>
      <protection/>
    </xf>
    <xf numFmtId="0" fontId="0" fillId="0" borderId="161" xfId="0" applyFill="1" applyBorder="1" applyAlignment="1">
      <alignment/>
    </xf>
    <xf numFmtId="168" fontId="20" fillId="0" borderId="156" xfId="49" applyNumberFormat="1" applyFont="1" applyFill="1" applyBorder="1" applyAlignment="1" applyProtection="1">
      <alignment horizontal="right" vertical="center"/>
      <protection/>
    </xf>
    <xf numFmtId="168" fontId="20" fillId="0" borderId="157" xfId="49" applyNumberFormat="1" applyFont="1" applyFill="1" applyBorder="1" applyAlignment="1" applyProtection="1">
      <alignment horizontal="right" vertical="center"/>
      <protection/>
    </xf>
    <xf numFmtId="167" fontId="20" fillId="0" borderId="157" xfId="49" applyNumberFormat="1" applyFont="1" applyFill="1" applyBorder="1" applyAlignment="1" applyProtection="1">
      <alignment horizontal="right" vertical="center"/>
      <protection/>
    </xf>
    <xf numFmtId="164" fontId="18" fillId="0" borderId="162" xfId="80" applyNumberFormat="1" applyFont="1" applyFill="1" applyBorder="1" applyAlignment="1" applyProtection="1">
      <alignment horizontal="right" vertical="center"/>
      <protection/>
    </xf>
    <xf numFmtId="164" fontId="18" fillId="0" borderId="163" xfId="80" applyNumberFormat="1" applyFont="1" applyFill="1" applyBorder="1" applyAlignment="1" applyProtection="1">
      <alignment horizontal="right" vertical="center"/>
      <protection/>
    </xf>
    <xf numFmtId="164" fontId="18" fillId="0" borderId="164" xfId="80" applyNumberFormat="1" applyFont="1" applyFill="1" applyBorder="1" applyAlignment="1" applyProtection="1">
      <alignment horizontal="right" vertical="center"/>
      <protection/>
    </xf>
    <xf numFmtId="0" fontId="0" fillId="0" borderId="165" xfId="0" applyFill="1" applyBorder="1" applyAlignment="1">
      <alignment/>
    </xf>
    <xf numFmtId="0" fontId="20" fillId="0" borderId="129" xfId="49" applyFont="1" applyFill="1" applyBorder="1" applyAlignment="1">
      <alignment vertical="center"/>
      <protection/>
    </xf>
    <xf numFmtId="0" fontId="20" fillId="0" borderId="145" xfId="49" applyFont="1" applyFill="1" applyBorder="1" applyAlignment="1">
      <alignment vertical="center"/>
      <protection/>
    </xf>
    <xf numFmtId="0" fontId="0" fillId="0" borderId="166" xfId="0" applyFill="1" applyBorder="1" applyAlignment="1">
      <alignment/>
    </xf>
    <xf numFmtId="0" fontId="20" fillId="0" borderId="139" xfId="49" applyFont="1" applyFill="1" applyBorder="1" applyAlignment="1">
      <alignment vertical="center"/>
      <protection/>
    </xf>
    <xf numFmtId="0" fontId="20" fillId="0" borderId="144" xfId="49" applyFont="1" applyFill="1" applyBorder="1" applyAlignment="1">
      <alignment vertical="center"/>
      <protection/>
    </xf>
    <xf numFmtId="164" fontId="20" fillId="0" borderId="139" xfId="49" applyNumberFormat="1" applyFont="1" applyFill="1" applyBorder="1" applyAlignment="1">
      <alignment horizontal="center" vertical="center"/>
      <protection/>
    </xf>
    <xf numFmtId="0" fontId="20" fillId="0" borderId="139" xfId="49" applyFont="1" applyFill="1" applyBorder="1" applyAlignment="1">
      <alignment horizontal="center" vertical="center"/>
      <protection/>
    </xf>
    <xf numFmtId="0" fontId="20" fillId="0" borderId="144" xfId="49" applyFont="1" applyFill="1" applyBorder="1" applyAlignment="1">
      <alignment horizontal="center" vertical="center"/>
      <protection/>
    </xf>
    <xf numFmtId="164" fontId="20" fillId="0" borderId="167" xfId="80" applyNumberFormat="1" applyFont="1" applyFill="1" applyBorder="1" applyAlignment="1" applyProtection="1">
      <alignment horizontal="right" vertical="center"/>
      <protection/>
    </xf>
    <xf numFmtId="164" fontId="20" fillId="0" borderId="163" xfId="80" applyNumberFormat="1" applyFont="1" applyFill="1" applyBorder="1" applyAlignment="1" applyProtection="1">
      <alignment horizontal="right" vertical="center"/>
      <protection/>
    </xf>
    <xf numFmtId="164" fontId="20" fillId="0" borderId="168" xfId="80" applyNumberFormat="1" applyFont="1" applyFill="1" applyBorder="1" applyAlignment="1" applyProtection="1">
      <alignment horizontal="right" vertical="center"/>
      <protection/>
    </xf>
    <xf numFmtId="167" fontId="20" fillId="0" borderId="39" xfId="49" applyNumberFormat="1" applyFont="1" applyFill="1" applyBorder="1" applyAlignment="1" applyProtection="1">
      <alignment horizontal="right" vertical="center"/>
      <protection/>
    </xf>
    <xf numFmtId="167" fontId="20" fillId="0" borderId="129" xfId="49" applyNumberFormat="1" applyFont="1" applyFill="1" applyBorder="1" applyAlignment="1" applyProtection="1">
      <alignment horizontal="right" vertical="center"/>
      <protection/>
    </xf>
    <xf numFmtId="167" fontId="20" fillId="0" borderId="131" xfId="49" applyNumberFormat="1" applyFont="1" applyFill="1" applyBorder="1" applyAlignment="1" applyProtection="1">
      <alignment horizontal="right" vertical="center"/>
      <protection/>
    </xf>
    <xf numFmtId="167" fontId="20" fillId="0" borderId="138" xfId="49" applyNumberFormat="1" applyFont="1" applyFill="1" applyBorder="1" applyAlignment="1" applyProtection="1">
      <alignment horizontal="right" vertical="center"/>
      <protection/>
    </xf>
    <xf numFmtId="167" fontId="20" fillId="0" borderId="139" xfId="49" applyNumberFormat="1" applyFont="1" applyFill="1" applyBorder="1" applyAlignment="1" applyProtection="1">
      <alignment horizontal="right" vertical="center"/>
      <protection/>
    </xf>
    <xf numFmtId="167" fontId="20" fillId="0" borderId="140" xfId="49" applyNumberFormat="1" applyFont="1" applyFill="1" applyBorder="1" applyAlignment="1" applyProtection="1">
      <alignment horizontal="right" vertical="center"/>
      <protection/>
    </xf>
    <xf numFmtId="164" fontId="20" fillId="0" borderId="146" xfId="80" applyNumberFormat="1" applyFont="1" applyFill="1" applyBorder="1" applyAlignment="1" applyProtection="1">
      <alignment horizontal="right" vertical="center"/>
      <protection/>
    </xf>
    <xf numFmtId="164" fontId="20" fillId="0" borderId="118" xfId="80" applyNumberFormat="1" applyFont="1" applyFill="1" applyBorder="1" applyAlignment="1" applyProtection="1">
      <alignment horizontal="right" vertical="center"/>
      <protection/>
    </xf>
    <xf numFmtId="164" fontId="20" fillId="0" borderId="147" xfId="80" applyNumberFormat="1" applyFont="1" applyFill="1" applyBorder="1" applyAlignment="1" applyProtection="1">
      <alignment horizontal="right" vertical="center"/>
      <protection/>
    </xf>
    <xf numFmtId="3" fontId="20" fillId="0" borderId="139" xfId="80" applyNumberFormat="1" applyFont="1" applyFill="1" applyBorder="1" applyAlignment="1" applyProtection="1">
      <alignment horizontal="right" vertical="center"/>
      <protection/>
    </xf>
    <xf numFmtId="3" fontId="20" fillId="0" borderId="140" xfId="80" applyNumberFormat="1" applyFont="1" applyFill="1" applyBorder="1" applyAlignment="1" applyProtection="1">
      <alignment horizontal="right" vertical="center"/>
      <protection/>
    </xf>
    <xf numFmtId="167" fontId="20" fillId="0" borderId="145" xfId="49" applyNumberFormat="1" applyFont="1" applyFill="1" applyBorder="1" applyAlignment="1" applyProtection="1">
      <alignment horizontal="right" vertical="center"/>
      <protection/>
    </xf>
    <xf numFmtId="164" fontId="20" fillId="0" borderId="164" xfId="80" applyNumberFormat="1" applyFont="1" applyFill="1" applyBorder="1" applyAlignment="1" applyProtection="1">
      <alignment horizontal="right" vertical="center"/>
      <protection/>
    </xf>
    <xf numFmtId="167" fontId="20" fillId="0" borderId="144" xfId="49" applyNumberFormat="1" applyFont="1" applyFill="1" applyBorder="1" applyAlignment="1" applyProtection="1">
      <alignment horizontal="right" vertical="center"/>
      <protection/>
    </xf>
    <xf numFmtId="3" fontId="20" fillId="0" borderId="144" xfId="80" applyNumberFormat="1" applyFont="1" applyFill="1" applyBorder="1" applyAlignment="1" applyProtection="1">
      <alignment horizontal="right" vertical="center"/>
      <protection/>
    </xf>
    <xf numFmtId="164" fontId="20" fillId="0" borderId="121" xfId="80" applyNumberFormat="1" applyFont="1" applyFill="1" applyBorder="1" applyAlignment="1" applyProtection="1">
      <alignment horizontal="right" vertical="center"/>
      <protection/>
    </xf>
    <xf numFmtId="167" fontId="20" fillId="0" borderId="99" xfId="49" applyNumberFormat="1" applyFont="1" applyFill="1" applyBorder="1" applyAlignment="1" applyProtection="1">
      <alignment horizontal="right" vertical="center"/>
      <protection/>
    </xf>
    <xf numFmtId="167" fontId="20" fillId="0" borderId="117" xfId="49" applyNumberFormat="1" applyFont="1" applyFill="1" applyBorder="1" applyAlignment="1" applyProtection="1">
      <alignment horizontal="right" vertical="center"/>
      <protection/>
    </xf>
    <xf numFmtId="167" fontId="20" fillId="0" borderId="105" xfId="49" applyNumberFormat="1" applyFont="1" applyFill="1" applyBorder="1" applyAlignment="1" applyProtection="1">
      <alignment horizontal="right" vertical="center"/>
      <protection/>
    </xf>
    <xf numFmtId="167" fontId="20" fillId="0" borderId="119" xfId="49" applyNumberFormat="1" applyFont="1" applyFill="1" applyBorder="1" applyAlignment="1" applyProtection="1">
      <alignment horizontal="right" vertical="center"/>
      <protection/>
    </xf>
    <xf numFmtId="164" fontId="20" fillId="0" borderId="169" xfId="80" applyNumberFormat="1" applyFont="1" applyFill="1" applyBorder="1" applyAlignment="1" applyProtection="1">
      <alignment horizontal="right" vertical="center"/>
      <protection/>
    </xf>
    <xf numFmtId="164" fontId="20" fillId="0" borderId="120" xfId="80" applyNumberFormat="1" applyFont="1" applyFill="1" applyBorder="1" applyAlignment="1" applyProtection="1">
      <alignment horizontal="right" vertical="center"/>
      <protection/>
    </xf>
    <xf numFmtId="164" fontId="18" fillId="8" borderId="143" xfId="80" applyNumberFormat="1" applyFont="1" applyFill="1" applyBorder="1" applyAlignment="1" applyProtection="1">
      <alignment horizontal="right" vertical="center"/>
      <protection/>
    </xf>
    <xf numFmtId="164" fontId="18" fillId="13" borderId="50" xfId="80" applyNumberFormat="1" applyFont="1" applyFill="1" applyBorder="1" applyAlignment="1" applyProtection="1">
      <alignment horizontal="right" vertical="center"/>
      <protection/>
    </xf>
    <xf numFmtId="164" fontId="18" fillId="0" borderId="170" xfId="80" applyNumberFormat="1" applyFont="1" applyFill="1" applyBorder="1" applyAlignment="1" applyProtection="1">
      <alignment horizontal="right" vertical="center"/>
      <protection/>
    </xf>
    <xf numFmtId="164" fontId="18" fillId="0" borderId="130" xfId="80" applyNumberFormat="1" applyFont="1" applyFill="1" applyBorder="1" applyAlignment="1" applyProtection="1">
      <alignment horizontal="right" vertical="center"/>
      <protection/>
    </xf>
    <xf numFmtId="164" fontId="18" fillId="0" borderId="169" xfId="80" applyNumberFormat="1" applyFont="1" applyFill="1" applyBorder="1" applyAlignment="1" applyProtection="1">
      <alignment horizontal="right" vertical="center"/>
      <protection/>
    </xf>
    <xf numFmtId="0" fontId="20" fillId="0" borderId="117" xfId="49" applyFont="1" applyFill="1" applyBorder="1" applyAlignment="1">
      <alignment vertical="center"/>
      <protection/>
    </xf>
    <xf numFmtId="0" fontId="20" fillId="0" borderId="119" xfId="49" applyFont="1" applyFill="1" applyBorder="1" applyAlignment="1">
      <alignment vertical="center"/>
      <protection/>
    </xf>
    <xf numFmtId="164" fontId="20" fillId="0" borderId="48" xfId="49" applyNumberFormat="1" applyFont="1" applyFill="1" applyBorder="1" applyAlignment="1">
      <alignment vertical="center"/>
      <protection/>
    </xf>
    <xf numFmtId="0" fontId="11" fillId="0" borderId="43" xfId="49" applyFont="1" applyFill="1" applyBorder="1" applyAlignment="1">
      <alignment vertical="center"/>
      <protection/>
    </xf>
    <xf numFmtId="9" fontId="18" fillId="9" borderId="171" xfId="80" applyFont="1" applyFill="1" applyBorder="1" applyAlignment="1">
      <alignment horizontal="center" vertical="center"/>
    </xf>
    <xf numFmtId="10" fontId="18" fillId="0" borderId="172" xfId="80" applyNumberFormat="1" applyFont="1" applyFill="1" applyBorder="1" applyAlignment="1" applyProtection="1">
      <alignment horizontal="right" vertical="center"/>
      <protection/>
    </xf>
    <xf numFmtId="3" fontId="20" fillId="0" borderId="173" xfId="49" applyNumberFormat="1" applyFont="1" applyFill="1" applyBorder="1" applyAlignment="1">
      <alignment vertical="center"/>
      <protection/>
    </xf>
    <xf numFmtId="10" fontId="20" fillId="0" borderId="151" xfId="80" applyNumberFormat="1" applyFont="1" applyFill="1" applyBorder="1" applyAlignment="1" applyProtection="1">
      <alignment horizontal="right" vertical="center"/>
      <protection/>
    </xf>
    <xf numFmtId="3" fontId="20" fillId="0" borderId="126" xfId="49" applyNumberFormat="1" applyFont="1" applyFill="1" applyBorder="1" applyAlignment="1">
      <alignment vertical="center"/>
      <protection/>
    </xf>
    <xf numFmtId="10" fontId="20" fillId="0" borderId="156" xfId="80" applyNumberFormat="1" applyFont="1" applyFill="1" applyBorder="1" applyAlignment="1" applyProtection="1">
      <alignment horizontal="right" vertical="center"/>
      <protection/>
    </xf>
    <xf numFmtId="3" fontId="20" fillId="0" borderId="127" xfId="49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" fontId="98" fillId="0" borderId="89" xfId="0" applyNumberFormat="1" applyFont="1" applyFill="1" applyBorder="1" applyAlignment="1">
      <alignment vertical="center"/>
    </xf>
    <xf numFmtId="171" fontId="11" fillId="0" borderId="27" xfId="78" applyNumberFormat="1" applyFont="1" applyFill="1" applyBorder="1" applyAlignment="1">
      <alignment vertical="center"/>
      <protection/>
    </xf>
    <xf numFmtId="3" fontId="105" fillId="0" borderId="0" xfId="0" applyNumberFormat="1" applyFont="1" applyAlignment="1">
      <alignment vertical="center"/>
    </xf>
    <xf numFmtId="3" fontId="98" fillId="0" borderId="23" xfId="0" applyNumberFormat="1" applyFont="1" applyFill="1" applyBorder="1" applyAlignment="1">
      <alignment vertical="center"/>
    </xf>
    <xf numFmtId="3" fontId="98" fillId="0" borderId="28" xfId="0" applyNumberFormat="1" applyFont="1" applyFill="1" applyBorder="1" applyAlignment="1">
      <alignment vertical="center"/>
    </xf>
    <xf numFmtId="3" fontId="98" fillId="0" borderId="93" xfId="0" applyNumberFormat="1" applyFont="1" applyFill="1" applyBorder="1" applyAlignment="1">
      <alignment vertical="center"/>
    </xf>
    <xf numFmtId="3" fontId="105" fillId="0" borderId="0" xfId="78" applyNumberFormat="1" applyFont="1" applyFill="1" applyAlignment="1">
      <alignment vertical="center"/>
      <protection/>
    </xf>
    <xf numFmtId="0" fontId="20" fillId="0" borderId="0" xfId="46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9" fillId="0" borderId="22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170" fontId="36" fillId="0" borderId="0" xfId="46" applyNumberFormat="1" applyFont="1" applyAlignment="1">
      <alignment vertical="center" wrapText="1"/>
      <protection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/>
    </xf>
    <xf numFmtId="3" fontId="57" fillId="0" borderId="0" xfId="48" applyNumberFormat="1" applyAlignment="1">
      <alignment vertical="center" wrapText="1"/>
      <protection/>
    </xf>
    <xf numFmtId="0" fontId="57" fillId="0" borderId="0" xfId="48" applyAlignment="1">
      <alignment vertical="center"/>
      <protection/>
    </xf>
    <xf numFmtId="0" fontId="57" fillId="0" borderId="0" xfId="48" applyAlignment="1">
      <alignment vertical="center" wrapText="1"/>
      <protection/>
    </xf>
    <xf numFmtId="3" fontId="11" fillId="0" borderId="38" xfId="46" applyNumberFormat="1" applyFill="1" applyBorder="1" applyAlignment="1">
      <alignment vertical="center"/>
      <protection/>
    </xf>
    <xf numFmtId="0" fontId="108" fillId="0" borderId="0" xfId="0" applyFont="1" applyAlignment="1">
      <alignment/>
    </xf>
    <xf numFmtId="0" fontId="98" fillId="0" borderId="39" xfId="0" applyFont="1" applyBorder="1" applyAlignment="1">
      <alignment/>
    </xf>
    <xf numFmtId="0" fontId="98" fillId="0" borderId="43" xfId="0" applyFont="1" applyBorder="1" applyAlignment="1">
      <alignment/>
    </xf>
    <xf numFmtId="0" fontId="98" fillId="0" borderId="42" xfId="0" applyFont="1" applyBorder="1" applyAlignment="1">
      <alignment/>
    </xf>
    <xf numFmtId="3" fontId="98" fillId="0" borderId="38" xfId="0" applyNumberFormat="1" applyFont="1" applyBorder="1" applyAlignment="1">
      <alignment/>
    </xf>
    <xf numFmtId="173" fontId="98" fillId="0" borderId="38" xfId="0" applyNumberFormat="1" applyFont="1" applyBorder="1" applyAlignment="1">
      <alignment horizontal="right"/>
    </xf>
    <xf numFmtId="0" fontId="98" fillId="0" borderId="0" xfId="0" applyFont="1" applyBorder="1" applyAlignment="1">
      <alignment horizontal="left"/>
    </xf>
    <xf numFmtId="173" fontId="98" fillId="0" borderId="0" xfId="0" applyNumberFormat="1" applyFont="1" applyBorder="1" applyAlignment="1">
      <alignment horizontal="right"/>
    </xf>
    <xf numFmtId="0" fontId="102" fillId="0" borderId="19" xfId="0" applyFont="1" applyFill="1" applyBorder="1" applyAlignment="1">
      <alignment horizontal="center" vertical="center" wrapText="1"/>
    </xf>
    <xf numFmtId="0" fontId="102" fillId="0" borderId="174" xfId="0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/>
    </xf>
    <xf numFmtId="3" fontId="11" fillId="0" borderId="22" xfId="49" applyNumberFormat="1" applyFont="1" applyFill="1" applyBorder="1" applyAlignment="1">
      <alignment horizontal="right" indent="1"/>
      <protection/>
    </xf>
    <xf numFmtId="3" fontId="11" fillId="0" borderId="131" xfId="49" applyNumberFormat="1" applyFont="1" applyFill="1" applyBorder="1" applyAlignment="1">
      <alignment horizontal="right" indent="1"/>
      <protection/>
    </xf>
    <xf numFmtId="3" fontId="102" fillId="0" borderId="175" xfId="0" applyNumberFormat="1" applyFont="1" applyBorder="1" applyAlignment="1">
      <alignment horizontal="right" indent="1"/>
    </xf>
    <xf numFmtId="174" fontId="98" fillId="0" borderId="0" xfId="0" applyNumberFormat="1" applyFont="1" applyAlignment="1">
      <alignment/>
    </xf>
    <xf numFmtId="49" fontId="29" fillId="0" borderId="24" xfId="0" applyNumberFormat="1" applyFont="1" applyFill="1" applyBorder="1" applyAlignment="1">
      <alignment horizontal="center"/>
    </xf>
    <xf numFmtId="3" fontId="11" fillId="0" borderId="38" xfId="49" applyNumberFormat="1" applyFont="1" applyFill="1" applyBorder="1" applyAlignment="1">
      <alignment horizontal="right" indent="1"/>
      <protection/>
    </xf>
    <xf numFmtId="3" fontId="11" fillId="0" borderId="39" xfId="49" applyNumberFormat="1" applyFont="1" applyFill="1" applyBorder="1" applyAlignment="1">
      <alignment horizontal="right" indent="1"/>
      <protection/>
    </xf>
    <xf numFmtId="3" fontId="98" fillId="0" borderId="0" xfId="0" applyNumberFormat="1" applyFont="1" applyAlignment="1">
      <alignment/>
    </xf>
    <xf numFmtId="3" fontId="98" fillId="0" borderId="38" xfId="0" applyNumberFormat="1" applyFont="1" applyFill="1" applyBorder="1" applyAlignment="1">
      <alignment horizontal="right" indent="1"/>
    </xf>
    <xf numFmtId="3" fontId="98" fillId="0" borderId="39" xfId="0" applyNumberFormat="1" applyFont="1" applyFill="1" applyBorder="1" applyAlignment="1">
      <alignment horizontal="right" indent="1"/>
    </xf>
    <xf numFmtId="49" fontId="29" fillId="0" borderId="94" xfId="0" applyNumberFormat="1" applyFont="1" applyFill="1" applyBorder="1" applyAlignment="1">
      <alignment horizontal="center"/>
    </xf>
    <xf numFmtId="0" fontId="29" fillId="0" borderId="46" xfId="0" applyFont="1" applyFill="1" applyBorder="1" applyAlignment="1">
      <alignment/>
    </xf>
    <xf numFmtId="3" fontId="98" fillId="0" borderId="46" xfId="0" applyNumberFormat="1" applyFont="1" applyFill="1" applyBorder="1" applyAlignment="1">
      <alignment horizontal="right" indent="1"/>
    </xf>
    <xf numFmtId="3" fontId="98" fillId="0" borderId="47" xfId="0" applyNumberFormat="1" applyFont="1" applyFill="1" applyBorder="1" applyAlignment="1">
      <alignment horizontal="right" indent="1"/>
    </xf>
    <xf numFmtId="0" fontId="102" fillId="0" borderId="25" xfId="0" applyFont="1" applyBorder="1" applyAlignment="1">
      <alignment/>
    </xf>
    <xf numFmtId="0" fontId="102" fillId="0" borderId="50" xfId="0" applyFont="1" applyBorder="1" applyAlignment="1">
      <alignment/>
    </xf>
    <xf numFmtId="3" fontId="102" fillId="0" borderId="11" xfId="0" applyNumberFormat="1" applyFont="1" applyFill="1" applyBorder="1" applyAlignment="1">
      <alignment horizontal="right" indent="1"/>
    </xf>
    <xf numFmtId="3" fontId="102" fillId="0" borderId="48" xfId="0" applyNumberFormat="1" applyFont="1" applyFill="1" applyBorder="1" applyAlignment="1">
      <alignment horizontal="right" indent="1"/>
    </xf>
    <xf numFmtId="3" fontId="102" fillId="0" borderId="27" xfId="0" applyNumberFormat="1" applyFont="1" applyBorder="1" applyAlignment="1">
      <alignment horizontal="right" indent="1"/>
    </xf>
    <xf numFmtId="0" fontId="109" fillId="0" borderId="0" xfId="0" applyFont="1" applyAlignment="1">
      <alignment/>
    </xf>
    <xf numFmtId="0" fontId="109" fillId="0" borderId="0" xfId="0" applyFont="1" applyAlignment="1">
      <alignment horizontal="center"/>
    </xf>
    <xf numFmtId="0" fontId="102" fillId="0" borderId="176" xfId="0" applyFont="1" applyFill="1" applyBorder="1" applyAlignment="1">
      <alignment horizontal="center" vertical="center" wrapText="1"/>
    </xf>
    <xf numFmtId="0" fontId="102" fillId="0" borderId="177" xfId="0" applyFont="1" applyFill="1" applyBorder="1" applyAlignment="1">
      <alignment horizontal="center" vertical="center" wrapText="1"/>
    </xf>
    <xf numFmtId="0" fontId="9" fillId="0" borderId="0" xfId="48" applyFont="1" applyAlignment="1">
      <alignment vertical="center"/>
      <protection/>
    </xf>
    <xf numFmtId="3" fontId="11" fillId="0" borderId="0" xfId="48" applyNumberFormat="1" applyFont="1" applyAlignment="1">
      <alignment vertical="center" wrapText="1"/>
      <protection/>
    </xf>
    <xf numFmtId="0" fontId="11" fillId="0" borderId="0" xfId="48" applyFont="1" applyAlignment="1">
      <alignment vertical="center"/>
      <protection/>
    </xf>
    <xf numFmtId="0" fontId="11" fillId="0" borderId="0" xfId="48" applyFont="1" applyAlignment="1">
      <alignment vertical="center" wrapText="1"/>
      <protection/>
    </xf>
    <xf numFmtId="0" fontId="11" fillId="0" borderId="25" xfId="48" applyFont="1" applyBorder="1" applyAlignment="1">
      <alignment vertical="center"/>
      <protection/>
    </xf>
    <xf numFmtId="0" fontId="11" fillId="0" borderId="50" xfId="48" applyFont="1" applyBorder="1" applyAlignment="1">
      <alignment vertical="center"/>
      <protection/>
    </xf>
    <xf numFmtId="3" fontId="11" fillId="0" borderId="28" xfId="48" applyNumberFormat="1" applyFont="1" applyBorder="1" applyAlignment="1">
      <alignment vertical="center" wrapText="1"/>
      <protection/>
    </xf>
    <xf numFmtId="0" fontId="11" fillId="0" borderId="88" xfId="48" applyFont="1" applyBorder="1" applyAlignment="1">
      <alignment vertical="center"/>
      <protection/>
    </xf>
    <xf numFmtId="0" fontId="11" fillId="0" borderId="170" xfId="48" applyFont="1" applyBorder="1" applyAlignment="1">
      <alignment vertical="center"/>
      <protection/>
    </xf>
    <xf numFmtId="3" fontId="11" fillId="0" borderId="89" xfId="48" applyNumberFormat="1" applyFont="1" applyBorder="1" applyAlignment="1">
      <alignment vertical="center"/>
      <protection/>
    </xf>
    <xf numFmtId="0" fontId="11" fillId="0" borderId="99" xfId="48" applyFont="1" applyBorder="1" applyAlignment="1">
      <alignment vertical="center"/>
      <protection/>
    </xf>
    <xf numFmtId="0" fontId="11" fillId="0" borderId="42" xfId="48" applyFont="1" applyBorder="1" applyAlignment="1">
      <alignment vertical="center"/>
      <protection/>
    </xf>
    <xf numFmtId="3" fontId="11" fillId="0" borderId="96" xfId="48" applyNumberFormat="1" applyFont="1" applyBorder="1" applyAlignment="1">
      <alignment vertical="center"/>
      <protection/>
    </xf>
    <xf numFmtId="0" fontId="11" fillId="0" borderId="100" xfId="48" applyFont="1" applyBorder="1" applyAlignment="1">
      <alignment vertical="center"/>
      <protection/>
    </xf>
    <xf numFmtId="0" fontId="11" fillId="0" borderId="178" xfId="48" applyFont="1" applyBorder="1" applyAlignment="1">
      <alignment vertical="center"/>
      <protection/>
    </xf>
    <xf numFmtId="3" fontId="11" fillId="0" borderId="93" xfId="48" applyNumberFormat="1" applyFont="1" applyBorder="1" applyAlignment="1">
      <alignment vertical="center"/>
      <protection/>
    </xf>
    <xf numFmtId="3" fontId="11" fillId="0" borderId="0" xfId="48" applyNumberFormat="1" applyFont="1" applyAlignment="1">
      <alignment vertical="center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1" fillId="0" borderId="11" xfId="48" applyFont="1" applyBorder="1" applyAlignment="1">
      <alignment vertical="center"/>
      <protection/>
    </xf>
    <xf numFmtId="3" fontId="32" fillId="0" borderId="11" xfId="48" applyNumberFormat="1" applyFont="1" applyBorder="1" applyAlignment="1">
      <alignment horizontal="center" vertical="center" wrapText="1"/>
      <protection/>
    </xf>
    <xf numFmtId="0" fontId="32" fillId="0" borderId="11" xfId="48" applyFont="1" applyBorder="1" applyAlignment="1">
      <alignment horizontal="center" vertical="center" wrapText="1"/>
      <protection/>
    </xf>
    <xf numFmtId="0" fontId="32" fillId="0" borderId="28" xfId="48" applyFont="1" applyBorder="1" applyAlignment="1">
      <alignment horizontal="center" vertical="center" wrapText="1"/>
      <protection/>
    </xf>
    <xf numFmtId="3" fontId="32" fillId="0" borderId="22" xfId="48" applyNumberFormat="1" applyFont="1" applyBorder="1" applyAlignment="1">
      <alignment vertical="center" wrapText="1"/>
      <protection/>
    </xf>
    <xf numFmtId="0" fontId="11" fillId="0" borderId="22" xfId="48" applyFont="1" applyBorder="1" applyAlignment="1">
      <alignment vertical="center"/>
      <protection/>
    </xf>
    <xf numFmtId="0" fontId="11" fillId="0" borderId="23" xfId="48" applyFont="1" applyBorder="1" applyAlignment="1">
      <alignment vertical="center"/>
      <protection/>
    </xf>
    <xf numFmtId="3" fontId="32" fillId="0" borderId="38" xfId="48" applyNumberFormat="1" applyFont="1" applyBorder="1" applyAlignment="1">
      <alignment vertical="center" wrapText="1"/>
      <protection/>
    </xf>
    <xf numFmtId="0" fontId="11" fillId="0" borderId="38" xfId="48" applyFont="1" applyBorder="1" applyAlignment="1">
      <alignment vertical="center"/>
      <protection/>
    </xf>
    <xf numFmtId="0" fontId="11" fillId="0" borderId="96" xfId="48" applyFont="1" applyBorder="1" applyAlignment="1">
      <alignment vertical="center"/>
      <protection/>
    </xf>
    <xf numFmtId="0" fontId="32" fillId="0" borderId="38" xfId="48" applyFont="1" applyBorder="1" applyAlignment="1">
      <alignment vertical="center" wrapText="1"/>
      <protection/>
    </xf>
    <xf numFmtId="3" fontId="32" fillId="0" borderId="46" xfId="48" applyNumberFormat="1" applyFont="1" applyBorder="1" applyAlignment="1">
      <alignment vertical="center" wrapText="1"/>
      <protection/>
    </xf>
    <xf numFmtId="0" fontId="11" fillId="0" borderId="46" xfId="48" applyFont="1" applyBorder="1" applyAlignment="1">
      <alignment vertical="center"/>
      <protection/>
    </xf>
    <xf numFmtId="0" fontId="11" fillId="0" borderId="104" xfId="48" applyFont="1" applyBorder="1" applyAlignment="1">
      <alignment vertical="center"/>
      <protection/>
    </xf>
    <xf numFmtId="0" fontId="11" fillId="0" borderId="97" xfId="48" applyFont="1" applyBorder="1" applyAlignment="1">
      <alignment vertical="center"/>
      <protection/>
    </xf>
    <xf numFmtId="3" fontId="32" fillId="0" borderId="19" xfId="48" applyNumberFormat="1" applyFont="1" applyBorder="1" applyAlignment="1">
      <alignment vertical="center" wrapText="1"/>
      <protection/>
    </xf>
    <xf numFmtId="0" fontId="11" fillId="0" borderId="19" xfId="48" applyFont="1" applyBorder="1" applyAlignment="1">
      <alignment vertical="center"/>
      <protection/>
    </xf>
    <xf numFmtId="0" fontId="11" fillId="0" borderId="93" xfId="48" applyFont="1" applyBorder="1" applyAlignment="1">
      <alignment vertical="center"/>
      <protection/>
    </xf>
    <xf numFmtId="0" fontId="11" fillId="0" borderId="10" xfId="48" applyFont="1" applyBorder="1" applyAlignment="1">
      <alignment vertical="center"/>
      <protection/>
    </xf>
    <xf numFmtId="0" fontId="32" fillId="0" borderId="11" xfId="48" applyFont="1" applyBorder="1" applyAlignment="1">
      <alignment vertical="center"/>
      <protection/>
    </xf>
    <xf numFmtId="3" fontId="32" fillId="0" borderId="12" xfId="48" applyNumberFormat="1" applyFont="1" applyBorder="1" applyAlignment="1">
      <alignment vertical="center" wrapText="1"/>
      <protection/>
    </xf>
    <xf numFmtId="0" fontId="11" fillId="0" borderId="12" xfId="48" applyFont="1" applyBorder="1" applyAlignment="1">
      <alignment vertical="center"/>
      <protection/>
    </xf>
    <xf numFmtId="3" fontId="32" fillId="0" borderId="11" xfId="48" applyNumberFormat="1" applyFont="1" applyBorder="1" applyAlignment="1">
      <alignment vertical="center" wrapText="1"/>
      <protection/>
    </xf>
    <xf numFmtId="0" fontId="11" fillId="0" borderId="28" xfId="48" applyFont="1" applyBorder="1" applyAlignment="1">
      <alignment vertical="center"/>
      <protection/>
    </xf>
    <xf numFmtId="0" fontId="98" fillId="0" borderId="90" xfId="0" applyFont="1" applyBorder="1" applyAlignment="1">
      <alignment/>
    </xf>
    <xf numFmtId="0" fontId="98" fillId="0" borderId="24" xfId="0" applyFont="1" applyBorder="1" applyAlignment="1">
      <alignment/>
    </xf>
    <xf numFmtId="0" fontId="11" fillId="0" borderId="19" xfId="48" applyFont="1" applyBorder="1" applyAlignment="1">
      <alignment vertical="center" wrapText="1"/>
      <protection/>
    </xf>
    <xf numFmtId="0" fontId="110" fillId="0" borderId="0" xfId="0" applyFont="1" applyAlignment="1">
      <alignment vertical="center"/>
    </xf>
    <xf numFmtId="0" fontId="98" fillId="0" borderId="39" xfId="0" applyFont="1" applyBorder="1" applyAlignment="1">
      <alignment vertical="center"/>
    </xf>
    <xf numFmtId="0" fontId="98" fillId="0" borderId="42" xfId="0" applyFont="1" applyBorder="1" applyAlignment="1">
      <alignment vertical="center"/>
    </xf>
    <xf numFmtId="166" fontId="98" fillId="0" borderId="38" xfId="0" applyNumberFormat="1" applyFont="1" applyBorder="1" applyAlignment="1">
      <alignment horizontal="right" vertical="center"/>
    </xf>
    <xf numFmtId="166" fontId="98" fillId="0" borderId="0" xfId="0" applyNumberFormat="1" applyFont="1" applyBorder="1" applyAlignment="1">
      <alignment horizontal="right" vertical="center"/>
    </xf>
    <xf numFmtId="0" fontId="102" fillId="0" borderId="0" xfId="0" applyFont="1" applyAlignment="1">
      <alignment horizontal="center" vertical="center"/>
    </xf>
    <xf numFmtId="0" fontId="98" fillId="0" borderId="0" xfId="0" applyFont="1" applyAlignment="1">
      <alignment horizontal="right" vertical="center"/>
    </xf>
    <xf numFmtId="49" fontId="29" fillId="0" borderId="3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vertical="center"/>
    </xf>
    <xf numFmtId="3" fontId="98" fillId="0" borderId="30" xfId="0" applyNumberFormat="1" applyFont="1" applyBorder="1" applyAlignment="1">
      <alignment horizontal="right" vertical="center"/>
    </xf>
    <xf numFmtId="3" fontId="98" fillId="0" borderId="31" xfId="0" applyNumberFormat="1" applyFont="1" applyBorder="1" applyAlignment="1">
      <alignment horizontal="right" vertical="center"/>
    </xf>
    <xf numFmtId="3" fontId="102" fillId="0" borderId="179" xfId="0" applyNumberFormat="1" applyFont="1" applyBorder="1" applyAlignment="1">
      <alignment horizontal="right" vertical="center"/>
    </xf>
    <xf numFmtId="49" fontId="29" fillId="0" borderId="38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vertical="center"/>
    </xf>
    <xf numFmtId="3" fontId="98" fillId="0" borderId="38" xfId="0" applyNumberFormat="1" applyFont="1" applyBorder="1" applyAlignment="1">
      <alignment horizontal="right" vertical="center"/>
    </xf>
    <xf numFmtId="3" fontId="98" fillId="0" borderId="39" xfId="0" applyNumberFormat="1" applyFont="1" applyBorder="1" applyAlignment="1">
      <alignment horizontal="right" vertical="center"/>
    </xf>
    <xf numFmtId="3" fontId="102" fillId="0" borderId="96" xfId="0" applyNumberFormat="1" applyFont="1" applyBorder="1" applyAlignment="1">
      <alignment horizontal="right" vertical="center"/>
    </xf>
    <xf numFmtId="3" fontId="98" fillId="0" borderId="38" xfId="0" applyNumberFormat="1" applyFont="1" applyFill="1" applyBorder="1" applyAlignment="1">
      <alignment horizontal="right" vertical="center"/>
    </xf>
    <xf numFmtId="3" fontId="98" fillId="0" borderId="39" xfId="0" applyNumberFormat="1" applyFont="1" applyFill="1" applyBorder="1" applyAlignment="1">
      <alignment horizontal="right" vertical="center"/>
    </xf>
    <xf numFmtId="3" fontId="102" fillId="0" borderId="96" xfId="0" applyNumberFormat="1" applyFont="1" applyFill="1" applyBorder="1" applyAlignment="1">
      <alignment horizontal="right" vertical="center"/>
    </xf>
    <xf numFmtId="0" fontId="98" fillId="0" borderId="0" xfId="0" applyFont="1" applyFill="1" applyAlignment="1">
      <alignment vertical="center"/>
    </xf>
    <xf numFmtId="49" fontId="29" fillId="0" borderId="46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vertical="center"/>
    </xf>
    <xf numFmtId="0" fontId="102" fillId="0" borderId="180" xfId="0" applyFont="1" applyFill="1" applyBorder="1" applyAlignment="1">
      <alignment horizontal="center" vertical="center"/>
    </xf>
    <xf numFmtId="0" fontId="40" fillId="0" borderId="181" xfId="0" applyFont="1" applyFill="1" applyBorder="1" applyAlignment="1">
      <alignment vertical="center"/>
    </xf>
    <xf numFmtId="3" fontId="102" fillId="0" borderId="182" xfId="0" applyNumberFormat="1" applyFont="1" applyFill="1" applyBorder="1" applyAlignment="1">
      <alignment horizontal="right" vertical="center"/>
    </xf>
    <xf numFmtId="3" fontId="102" fillId="0" borderId="183" xfId="0" applyNumberFormat="1" applyFont="1" applyFill="1" applyBorder="1" applyAlignment="1">
      <alignment horizontal="right" vertical="center"/>
    </xf>
    <xf numFmtId="3" fontId="102" fillId="0" borderId="184" xfId="0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vertical="center"/>
    </xf>
    <xf numFmtId="0" fontId="109" fillId="0" borderId="0" xfId="0" applyFont="1" applyFill="1" applyAlignment="1">
      <alignment vertical="center"/>
    </xf>
    <xf numFmtId="3" fontId="111" fillId="0" borderId="0" xfId="0" applyNumberFormat="1" applyFont="1" applyFill="1" applyAlignment="1">
      <alignment vertical="center"/>
    </xf>
    <xf numFmtId="0" fontId="109" fillId="0" borderId="0" xfId="0" applyFont="1" applyAlignment="1">
      <alignment vertical="center"/>
    </xf>
    <xf numFmtId="164" fontId="111" fillId="0" borderId="0" xfId="0" applyNumberFormat="1" applyFont="1" applyAlignment="1">
      <alignment vertical="center"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48" applyFont="1" applyAlignment="1">
      <alignment horizontal="right" vertical="center" wrapText="1"/>
      <protection/>
    </xf>
    <xf numFmtId="0" fontId="112" fillId="0" borderId="0" xfId="0" applyFont="1" applyBorder="1" applyAlignment="1">
      <alignment horizontal="left"/>
    </xf>
    <xf numFmtId="173" fontId="112" fillId="0" borderId="0" xfId="0" applyNumberFormat="1" applyFont="1" applyBorder="1" applyAlignment="1">
      <alignment horizontal="right"/>
    </xf>
    <xf numFmtId="0" fontId="8" fillId="39" borderId="165" xfId="77" applyFont="1" applyFill="1" applyBorder="1" applyAlignment="1">
      <alignment vertical="center"/>
      <protection/>
    </xf>
    <xf numFmtId="0" fontId="8" fillId="39" borderId="15" xfId="77" applyFont="1" applyFill="1" applyBorder="1" applyAlignment="1">
      <alignment vertical="center"/>
      <protection/>
    </xf>
    <xf numFmtId="0" fontId="8" fillId="39" borderId="39" xfId="77" applyFont="1" applyFill="1" applyBorder="1" applyAlignment="1">
      <alignment vertical="center"/>
      <protection/>
    </xf>
    <xf numFmtId="0" fontId="8" fillId="39" borderId="43" xfId="77" applyFont="1" applyFill="1" applyBorder="1" applyAlignment="1">
      <alignment vertical="center"/>
      <protection/>
    </xf>
    <xf numFmtId="0" fontId="8" fillId="39" borderId="174" xfId="77" applyFont="1" applyFill="1" applyBorder="1" applyAlignment="1">
      <alignment vertical="center"/>
      <protection/>
    </xf>
    <xf numFmtId="0" fontId="8" fillId="39" borderId="103" xfId="77" applyFont="1" applyFill="1" applyBorder="1" applyAlignment="1">
      <alignment vertical="center"/>
      <protection/>
    </xf>
    <xf numFmtId="0" fontId="8" fillId="39" borderId="117" xfId="77" applyFont="1" applyFill="1" applyBorder="1" applyAlignment="1">
      <alignment vertical="center"/>
      <protection/>
    </xf>
    <xf numFmtId="0" fontId="8" fillId="39" borderId="0" xfId="77" applyFont="1" applyFill="1" applyBorder="1" applyAlignment="1">
      <alignment vertical="center"/>
      <protection/>
    </xf>
    <xf numFmtId="0" fontId="7" fillId="39" borderId="0" xfId="77" applyFont="1" applyFill="1" applyBorder="1" applyAlignment="1">
      <alignment vertical="center"/>
      <protection/>
    </xf>
    <xf numFmtId="0" fontId="6" fillId="39" borderId="0" xfId="77" applyFont="1" applyFill="1" applyBorder="1" applyAlignment="1">
      <alignment vertical="center"/>
      <protection/>
    </xf>
    <xf numFmtId="3" fontId="8" fillId="39" borderId="0" xfId="77" applyNumberFormat="1" applyFont="1" applyFill="1" applyBorder="1" applyAlignment="1">
      <alignment horizontal="center" vertical="center"/>
      <protection/>
    </xf>
    <xf numFmtId="10" fontId="113" fillId="39" borderId="0" xfId="77" applyNumberFormat="1" applyFont="1" applyFill="1" applyBorder="1" applyAlignment="1">
      <alignment horizontal="center" vertical="center"/>
      <protection/>
    </xf>
    <xf numFmtId="0" fontId="12" fillId="39" borderId="0" xfId="77" applyFont="1" applyFill="1" applyBorder="1" applyAlignment="1">
      <alignment vertical="center"/>
      <protection/>
    </xf>
    <xf numFmtId="10" fontId="8" fillId="39" borderId="0" xfId="77" applyNumberFormat="1" applyFont="1" applyFill="1" applyBorder="1" applyAlignment="1">
      <alignment horizontal="center" vertical="center"/>
      <protection/>
    </xf>
    <xf numFmtId="0" fontId="8" fillId="39" borderId="90" xfId="77" applyFont="1" applyFill="1" applyBorder="1" applyAlignment="1">
      <alignment vertical="center"/>
      <protection/>
    </xf>
    <xf numFmtId="0" fontId="8" fillId="39" borderId="55" xfId="77" applyFont="1" applyFill="1" applyBorder="1" applyAlignment="1">
      <alignment vertical="center"/>
      <protection/>
    </xf>
    <xf numFmtId="3" fontId="6" fillId="39" borderId="92" xfId="77" applyNumberFormat="1" applyFont="1" applyFill="1" applyBorder="1" applyAlignment="1">
      <alignment vertical="center"/>
      <protection/>
    </xf>
    <xf numFmtId="164" fontId="113" fillId="39" borderId="92" xfId="77" applyNumberFormat="1" applyFont="1" applyFill="1" applyBorder="1" applyAlignment="1">
      <alignment vertical="center"/>
      <protection/>
    </xf>
    <xf numFmtId="164" fontId="113" fillId="39" borderId="17" xfId="77" applyNumberFormat="1" applyFont="1" applyFill="1" applyBorder="1" applyAlignment="1">
      <alignment vertical="center"/>
      <protection/>
    </xf>
    <xf numFmtId="0" fontId="8" fillId="39" borderId="24" xfId="77" applyFont="1" applyFill="1" applyBorder="1" applyAlignment="1">
      <alignment vertical="center"/>
      <protection/>
    </xf>
    <xf numFmtId="0" fontId="8" fillId="39" borderId="38" xfId="77" applyFont="1" applyFill="1" applyBorder="1" applyAlignment="1">
      <alignment vertical="center" wrapText="1"/>
      <protection/>
    </xf>
    <xf numFmtId="3" fontId="6" fillId="39" borderId="38" xfId="77" applyNumberFormat="1" applyFont="1" applyFill="1" applyBorder="1" applyAlignment="1">
      <alignment vertical="center"/>
      <protection/>
    </xf>
    <xf numFmtId="164" fontId="113" fillId="39" borderId="38" xfId="77" applyNumberFormat="1" applyFont="1" applyFill="1" applyBorder="1" applyAlignment="1">
      <alignment vertical="center"/>
      <protection/>
    </xf>
    <xf numFmtId="3" fontId="6" fillId="39" borderId="38" xfId="77" applyNumberFormat="1" applyFont="1" applyFill="1" applyBorder="1" applyAlignment="1">
      <alignment horizontal="center" vertical="center"/>
      <protection/>
    </xf>
    <xf numFmtId="164" fontId="113" fillId="39" borderId="38" xfId="77" applyNumberFormat="1" applyFont="1" applyFill="1" applyBorder="1" applyAlignment="1">
      <alignment horizontal="center" vertical="center"/>
      <protection/>
    </xf>
    <xf numFmtId="164" fontId="113" fillId="39" borderId="96" xfId="77" applyNumberFormat="1" applyFont="1" applyFill="1" applyBorder="1" applyAlignment="1">
      <alignment horizontal="center" vertical="center"/>
      <protection/>
    </xf>
    <xf numFmtId="0" fontId="8" fillId="39" borderId="97" xfId="77" applyFont="1" applyFill="1" applyBorder="1" applyAlignment="1">
      <alignment vertical="center"/>
      <protection/>
    </xf>
    <xf numFmtId="0" fontId="8" fillId="39" borderId="19" xfId="77" applyFont="1" applyFill="1" applyBorder="1" applyAlignment="1">
      <alignment vertical="center" wrapText="1"/>
      <protection/>
    </xf>
    <xf numFmtId="3" fontId="6" fillId="39" borderId="19" xfId="77" applyNumberFormat="1" applyFont="1" applyFill="1" applyBorder="1" applyAlignment="1">
      <alignment vertical="center"/>
      <protection/>
    </xf>
    <xf numFmtId="164" fontId="113" fillId="39" borderId="19" xfId="77" applyNumberFormat="1" applyFont="1" applyFill="1" applyBorder="1" applyAlignment="1">
      <alignment vertical="center"/>
      <protection/>
    </xf>
    <xf numFmtId="164" fontId="113" fillId="39" borderId="93" xfId="77" applyNumberFormat="1" applyFont="1" applyFill="1" applyBorder="1" applyAlignment="1">
      <alignment horizontal="right" vertical="center"/>
      <protection/>
    </xf>
    <xf numFmtId="0" fontId="13" fillId="39" borderId="18" xfId="77" applyFont="1" applyFill="1" applyBorder="1" applyAlignment="1">
      <alignment vertical="center"/>
      <protection/>
    </xf>
    <xf numFmtId="0" fontId="13" fillId="39" borderId="12" xfId="77" applyFont="1" applyFill="1" applyBorder="1" applyAlignment="1">
      <alignment vertical="center" wrapText="1"/>
      <protection/>
    </xf>
    <xf numFmtId="3" fontId="12" fillId="39" borderId="12" xfId="77" applyNumberFormat="1" applyFont="1" applyFill="1" applyBorder="1" applyAlignment="1">
      <alignment horizontal="right" vertical="center"/>
      <protection/>
    </xf>
    <xf numFmtId="164" fontId="114" fillId="39" borderId="12" xfId="77" applyNumberFormat="1" applyFont="1" applyFill="1" applyBorder="1" applyAlignment="1">
      <alignment horizontal="right" vertical="center"/>
      <protection/>
    </xf>
    <xf numFmtId="164" fontId="115" fillId="39" borderId="20" xfId="77" applyNumberFormat="1" applyFont="1" applyFill="1" applyBorder="1" applyAlignment="1">
      <alignment horizontal="right" vertical="center"/>
      <protection/>
    </xf>
    <xf numFmtId="3" fontId="8" fillId="39" borderId="0" xfId="77" applyNumberFormat="1" applyFont="1" applyFill="1" applyBorder="1" applyAlignment="1">
      <alignment horizontal="right" vertical="center"/>
      <protection/>
    </xf>
    <xf numFmtId="10" fontId="8" fillId="39" borderId="0" xfId="77" applyNumberFormat="1" applyFont="1" applyFill="1" applyBorder="1" applyAlignment="1">
      <alignment horizontal="right" vertical="center"/>
      <protection/>
    </xf>
    <xf numFmtId="164" fontId="113" fillId="39" borderId="0" xfId="77" applyNumberFormat="1" applyFont="1" applyFill="1" applyBorder="1" applyAlignment="1">
      <alignment horizontal="right" vertical="center"/>
      <protection/>
    </xf>
    <xf numFmtId="3" fontId="6" fillId="39" borderId="55" xfId="77" applyNumberFormat="1" applyFont="1" applyFill="1" applyBorder="1" applyAlignment="1">
      <alignment horizontal="right" vertical="center"/>
      <protection/>
    </xf>
    <xf numFmtId="164" fontId="113" fillId="39" borderId="55" xfId="77" applyNumberFormat="1" applyFont="1" applyFill="1" applyBorder="1" applyAlignment="1">
      <alignment horizontal="right" vertical="center"/>
      <protection/>
    </xf>
    <xf numFmtId="164" fontId="113" fillId="39" borderId="123" xfId="77" applyNumberFormat="1" applyFont="1" applyFill="1" applyBorder="1" applyAlignment="1">
      <alignment horizontal="right" vertical="center"/>
      <protection/>
    </xf>
    <xf numFmtId="0" fontId="8" fillId="39" borderId="38" xfId="77" applyFont="1" applyFill="1" applyBorder="1" applyAlignment="1">
      <alignment vertical="center"/>
      <protection/>
    </xf>
    <xf numFmtId="3" fontId="6" fillId="39" borderId="38" xfId="77" applyNumberFormat="1" applyFont="1" applyFill="1" applyBorder="1" applyAlignment="1">
      <alignment horizontal="right" vertical="center"/>
      <protection/>
    </xf>
    <xf numFmtId="164" fontId="113" fillId="39" borderId="38" xfId="77" applyNumberFormat="1" applyFont="1" applyFill="1" applyBorder="1" applyAlignment="1">
      <alignment horizontal="right" vertical="center"/>
      <protection/>
    </xf>
    <xf numFmtId="164" fontId="113" fillId="39" borderId="146" xfId="77" applyNumberFormat="1" applyFont="1" applyFill="1" applyBorder="1" applyAlignment="1">
      <alignment horizontal="right" vertical="center"/>
      <protection/>
    </xf>
    <xf numFmtId="0" fontId="8" fillId="39" borderId="19" xfId="77" applyFont="1" applyFill="1" applyBorder="1" applyAlignment="1">
      <alignment vertical="center"/>
      <protection/>
    </xf>
    <xf numFmtId="3" fontId="6" fillId="39" borderId="19" xfId="77" applyNumberFormat="1" applyFont="1" applyFill="1" applyBorder="1" applyAlignment="1">
      <alignment horizontal="right" vertical="center"/>
      <protection/>
    </xf>
    <xf numFmtId="164" fontId="113" fillId="39" borderId="19" xfId="77" applyNumberFormat="1" applyFont="1" applyFill="1" applyBorder="1" applyAlignment="1">
      <alignment horizontal="right" vertical="center"/>
      <protection/>
    </xf>
    <xf numFmtId="164" fontId="113" fillId="39" borderId="185" xfId="77" applyNumberFormat="1" applyFont="1" applyFill="1" applyBorder="1" applyAlignment="1">
      <alignment horizontal="right" vertical="center"/>
      <protection/>
    </xf>
    <xf numFmtId="164" fontId="113" fillId="39" borderId="89" xfId="77" applyNumberFormat="1" applyFont="1" applyFill="1" applyBorder="1" applyAlignment="1">
      <alignment horizontal="right" vertical="center"/>
      <protection/>
    </xf>
    <xf numFmtId="0" fontId="8" fillId="39" borderId="105" xfId="77" applyFont="1" applyFill="1" applyBorder="1" applyAlignment="1">
      <alignment vertical="center"/>
      <protection/>
    </xf>
    <xf numFmtId="0" fontId="8" fillId="39" borderId="106" xfId="77" applyFont="1" applyFill="1" applyBorder="1" applyAlignment="1">
      <alignment vertical="center"/>
      <protection/>
    </xf>
    <xf numFmtId="0" fontId="8" fillId="39" borderId="10" xfId="77" applyFont="1" applyFill="1" applyBorder="1" applyAlignment="1">
      <alignment vertical="center"/>
      <protection/>
    </xf>
    <xf numFmtId="0" fontId="8" fillId="39" borderId="48" xfId="77" applyFont="1" applyFill="1" applyBorder="1" applyAlignment="1">
      <alignment vertical="center"/>
      <protection/>
    </xf>
    <xf numFmtId="0" fontId="6" fillId="39" borderId="48" xfId="77" applyFont="1" applyFill="1" applyBorder="1" applyAlignment="1">
      <alignment vertical="center"/>
      <protection/>
    </xf>
    <xf numFmtId="0" fontId="6" fillId="39" borderId="26" xfId="77" applyFont="1" applyFill="1" applyBorder="1" applyAlignment="1">
      <alignment vertical="center"/>
      <protection/>
    </xf>
    <xf numFmtId="3" fontId="6" fillId="39" borderId="11" xfId="77" applyNumberFormat="1" applyFont="1" applyFill="1" applyBorder="1" applyAlignment="1">
      <alignment horizontal="right" vertical="center"/>
      <protection/>
    </xf>
    <xf numFmtId="164" fontId="113" fillId="39" borderId="11" xfId="77" applyNumberFormat="1" applyFont="1" applyFill="1" applyBorder="1" applyAlignment="1">
      <alignment horizontal="right" vertical="center"/>
      <protection/>
    </xf>
    <xf numFmtId="164" fontId="113" fillId="39" borderId="28" xfId="77" applyNumberFormat="1" applyFont="1" applyFill="1" applyBorder="1" applyAlignment="1">
      <alignment horizontal="right" vertical="center"/>
      <protection/>
    </xf>
    <xf numFmtId="3" fontId="6" fillId="39" borderId="22" xfId="77" applyNumberFormat="1" applyFont="1" applyFill="1" applyBorder="1" applyAlignment="1">
      <alignment horizontal="right" vertical="center"/>
      <protection/>
    </xf>
    <xf numFmtId="164" fontId="113" fillId="39" borderId="23" xfId="77" applyNumberFormat="1" applyFont="1" applyFill="1" applyBorder="1" applyAlignment="1">
      <alignment horizontal="right" vertical="center"/>
      <protection/>
    </xf>
    <xf numFmtId="0" fontId="8" fillId="39" borderId="186" xfId="77" applyFont="1" applyFill="1" applyBorder="1" applyAlignment="1">
      <alignment vertical="center"/>
      <protection/>
    </xf>
    <xf numFmtId="3" fontId="6" fillId="39" borderId="43" xfId="77" applyNumberFormat="1" applyFont="1" applyFill="1" applyBorder="1" applyAlignment="1">
      <alignment horizontal="right" vertical="center"/>
      <protection/>
    </xf>
    <xf numFmtId="164" fontId="113" fillId="39" borderId="96" xfId="77" applyNumberFormat="1" applyFont="1" applyFill="1" applyBorder="1" applyAlignment="1">
      <alignment horizontal="right" vertical="center"/>
      <protection/>
    </xf>
    <xf numFmtId="0" fontId="8" fillId="39" borderId="187" xfId="77" applyFont="1" applyFill="1" applyBorder="1" applyAlignment="1">
      <alignment vertical="center"/>
      <protection/>
    </xf>
    <xf numFmtId="0" fontId="8" fillId="39" borderId="188" xfId="77" applyFont="1" applyFill="1" applyBorder="1" applyAlignment="1">
      <alignment vertical="center"/>
      <protection/>
    </xf>
    <xf numFmtId="0" fontId="8" fillId="39" borderId="94" xfId="77" applyFont="1" applyFill="1" applyBorder="1" applyAlignment="1">
      <alignment vertical="center"/>
      <protection/>
    </xf>
    <xf numFmtId="0" fontId="8" fillId="39" borderId="47" xfId="77" applyFont="1" applyFill="1" applyBorder="1" applyAlignment="1">
      <alignment vertical="center"/>
      <protection/>
    </xf>
    <xf numFmtId="3" fontId="6" fillId="39" borderId="46" xfId="77" applyNumberFormat="1" applyFont="1" applyFill="1" applyBorder="1" applyAlignment="1">
      <alignment horizontal="right" vertical="center"/>
      <protection/>
    </xf>
    <xf numFmtId="164" fontId="113" fillId="39" borderId="46" xfId="77" applyNumberFormat="1" applyFont="1" applyFill="1" applyBorder="1" applyAlignment="1">
      <alignment horizontal="right" vertical="center"/>
      <protection/>
    </xf>
    <xf numFmtId="164" fontId="113" fillId="39" borderId="104" xfId="77" applyNumberFormat="1" applyFont="1" applyFill="1" applyBorder="1" applyAlignment="1">
      <alignment horizontal="right" vertical="center"/>
      <protection/>
    </xf>
    <xf numFmtId="0" fontId="8" fillId="39" borderId="25" xfId="77" applyFont="1" applyFill="1" applyBorder="1" applyAlignment="1">
      <alignment vertical="center"/>
      <protection/>
    </xf>
    <xf numFmtId="0" fontId="8" fillId="39" borderId="26" xfId="77" applyFont="1" applyFill="1" applyBorder="1" applyAlignment="1">
      <alignment vertical="center"/>
      <protection/>
    </xf>
    <xf numFmtId="3" fontId="6" fillId="39" borderId="11" xfId="46" applyNumberFormat="1" applyFont="1" applyFill="1" applyBorder="1" applyAlignment="1">
      <alignment horizontal="right" vertical="center"/>
      <protection/>
    </xf>
    <xf numFmtId="0" fontId="8" fillId="39" borderId="14" xfId="77" applyFont="1" applyFill="1" applyBorder="1" applyAlignment="1">
      <alignment vertical="center"/>
      <protection/>
    </xf>
    <xf numFmtId="0" fontId="8" fillId="39" borderId="98" xfId="77" applyFont="1" applyFill="1" applyBorder="1" applyAlignment="1">
      <alignment vertical="center"/>
      <protection/>
    </xf>
    <xf numFmtId="0" fontId="8" fillId="39" borderId="21" xfId="77" applyFont="1" applyFill="1" applyBorder="1" applyAlignment="1">
      <alignment vertical="center"/>
      <protection/>
    </xf>
    <xf numFmtId="0" fontId="8" fillId="39" borderId="131" xfId="77" applyFont="1" applyFill="1" applyBorder="1" applyAlignment="1">
      <alignment vertical="center"/>
      <protection/>
    </xf>
    <xf numFmtId="0" fontId="8" fillId="39" borderId="129" xfId="77" applyFont="1" applyFill="1" applyBorder="1" applyAlignment="1">
      <alignment vertical="center"/>
      <protection/>
    </xf>
    <xf numFmtId="164" fontId="113" fillId="39" borderId="22" xfId="77" applyNumberFormat="1" applyFont="1" applyFill="1" applyBorder="1" applyAlignment="1">
      <alignment horizontal="right" vertical="center"/>
      <protection/>
    </xf>
    <xf numFmtId="0" fontId="8" fillId="39" borderId="145" xfId="77" applyFont="1" applyFill="1" applyBorder="1" applyAlignment="1">
      <alignment vertical="center"/>
      <protection/>
    </xf>
    <xf numFmtId="0" fontId="8" fillId="39" borderId="101" xfId="77" applyFont="1" applyFill="1" applyBorder="1" applyAlignment="1">
      <alignment vertical="center"/>
      <protection/>
    </xf>
    <xf numFmtId="3" fontId="6" fillId="39" borderId="12" xfId="77" applyNumberFormat="1" applyFont="1" applyFill="1" applyBorder="1" applyAlignment="1">
      <alignment horizontal="right" vertical="center"/>
      <protection/>
    </xf>
    <xf numFmtId="0" fontId="6" fillId="39" borderId="14" xfId="77" applyFont="1" applyFill="1" applyBorder="1" applyAlignment="1">
      <alignment vertical="center"/>
      <protection/>
    </xf>
    <xf numFmtId="0" fontId="6" fillId="39" borderId="15" xfId="77" applyFont="1" applyFill="1" applyBorder="1" applyAlignment="1">
      <alignment vertical="center"/>
      <protection/>
    </xf>
    <xf numFmtId="3" fontId="6" fillId="39" borderId="14" xfId="77" applyNumberFormat="1" applyFont="1" applyFill="1" applyBorder="1" applyAlignment="1">
      <alignment horizontal="right" vertical="center"/>
      <protection/>
    </xf>
    <xf numFmtId="3" fontId="6" fillId="39" borderId="92" xfId="77" applyNumberFormat="1" applyFont="1" applyFill="1" applyBorder="1" applyAlignment="1">
      <alignment horizontal="right" vertical="center"/>
      <protection/>
    </xf>
    <xf numFmtId="0" fontId="13" fillId="39" borderId="10" xfId="77" applyFont="1" applyFill="1" applyBorder="1" applyAlignment="1">
      <alignment vertical="center"/>
      <protection/>
    </xf>
    <xf numFmtId="0" fontId="13" fillId="39" borderId="48" xfId="77" applyFont="1" applyFill="1" applyBorder="1" applyAlignment="1">
      <alignment vertical="center" wrapText="1"/>
      <protection/>
    </xf>
    <xf numFmtId="0" fontId="12" fillId="39" borderId="48" xfId="77" applyFont="1" applyFill="1" applyBorder="1" applyAlignment="1">
      <alignment vertical="center"/>
      <protection/>
    </xf>
    <xf numFmtId="0" fontId="12" fillId="39" borderId="26" xfId="77" applyFont="1" applyFill="1" applyBorder="1" applyAlignment="1">
      <alignment vertical="center" wrapText="1"/>
      <protection/>
    </xf>
    <xf numFmtId="3" fontId="12" fillId="39" borderId="11" xfId="77" applyNumberFormat="1" applyFont="1" applyFill="1" applyBorder="1" applyAlignment="1">
      <alignment horizontal="right" vertical="center"/>
      <protection/>
    </xf>
    <xf numFmtId="164" fontId="114" fillId="39" borderId="11" xfId="77" applyNumberFormat="1" applyFont="1" applyFill="1" applyBorder="1" applyAlignment="1">
      <alignment horizontal="right" vertical="center"/>
      <protection/>
    </xf>
    <xf numFmtId="164" fontId="115" fillId="39" borderId="28" xfId="77" applyNumberFormat="1" applyFont="1" applyFill="1" applyBorder="1" applyAlignment="1">
      <alignment horizontal="right" vertical="center"/>
      <protection/>
    </xf>
    <xf numFmtId="0" fontId="6" fillId="39" borderId="0" xfId="77" applyFont="1" applyFill="1" applyBorder="1" applyAlignment="1">
      <alignment horizontal="right" vertical="center"/>
      <protection/>
    </xf>
    <xf numFmtId="3" fontId="13" fillId="39" borderId="90" xfId="77" applyNumberFormat="1" applyFont="1" applyFill="1" applyBorder="1" applyAlignment="1">
      <alignment vertical="center"/>
      <protection/>
    </xf>
    <xf numFmtId="3" fontId="13" fillId="39" borderId="55" xfId="77" applyNumberFormat="1" applyFont="1" applyFill="1" applyBorder="1" applyAlignment="1">
      <alignment vertical="center"/>
      <protection/>
    </xf>
    <xf numFmtId="0" fontId="9" fillId="39" borderId="165" xfId="77" applyFont="1" applyFill="1" applyBorder="1" applyAlignment="1">
      <alignment vertical="center"/>
      <protection/>
    </xf>
    <xf numFmtId="3" fontId="14" fillId="39" borderId="98" xfId="77" applyNumberFormat="1" applyFont="1" applyFill="1" applyBorder="1" applyAlignment="1">
      <alignment vertical="center"/>
      <protection/>
    </xf>
    <xf numFmtId="0" fontId="14" fillId="39" borderId="98" xfId="77" applyFont="1" applyFill="1" applyBorder="1" applyAlignment="1">
      <alignment vertical="center"/>
      <protection/>
    </xf>
    <xf numFmtId="3" fontId="9" fillId="39" borderId="55" xfId="77" applyNumberFormat="1" applyFont="1" applyFill="1" applyBorder="1" applyAlignment="1">
      <alignment horizontal="right" vertical="center"/>
      <protection/>
    </xf>
    <xf numFmtId="164" fontId="114" fillId="39" borderId="55" xfId="77" applyNumberFormat="1" applyFont="1" applyFill="1" applyBorder="1" applyAlignment="1">
      <alignment horizontal="right" vertical="center"/>
      <protection/>
    </xf>
    <xf numFmtId="164" fontId="115" fillId="39" borderId="89" xfId="77" applyNumberFormat="1" applyFont="1" applyFill="1" applyBorder="1" applyAlignment="1">
      <alignment horizontal="right" vertical="center"/>
      <protection/>
    </xf>
    <xf numFmtId="0" fontId="12" fillId="39" borderId="24" xfId="77" applyFont="1" applyFill="1" applyBorder="1" applyAlignment="1">
      <alignment vertical="center"/>
      <protection/>
    </xf>
    <xf numFmtId="0" fontId="12" fillId="39" borderId="38" xfId="77" applyFont="1" applyFill="1" applyBorder="1" applyAlignment="1">
      <alignment vertical="center"/>
      <protection/>
    </xf>
    <xf numFmtId="0" fontId="14" fillId="39" borderId="39" xfId="77" applyFont="1" applyFill="1" applyBorder="1" applyAlignment="1">
      <alignment vertical="center"/>
      <protection/>
    </xf>
    <xf numFmtId="0" fontId="9" fillId="39" borderId="43" xfId="77" applyFont="1" applyFill="1" applyBorder="1" applyAlignment="1">
      <alignment vertical="center"/>
      <protection/>
    </xf>
    <xf numFmtId="3" fontId="9" fillId="39" borderId="38" xfId="77" applyNumberFormat="1" applyFont="1" applyFill="1" applyBorder="1" applyAlignment="1">
      <alignment horizontal="right" vertical="center"/>
      <protection/>
    </xf>
    <xf numFmtId="3" fontId="14" fillId="39" borderId="38" xfId="77" applyNumberFormat="1" applyFont="1" applyFill="1" applyBorder="1" applyAlignment="1">
      <alignment horizontal="right" vertical="center"/>
      <protection/>
    </xf>
    <xf numFmtId="164" fontId="114" fillId="39" borderId="38" xfId="77" applyNumberFormat="1" applyFont="1" applyFill="1" applyBorder="1" applyAlignment="1">
      <alignment horizontal="right" vertical="center"/>
      <protection/>
    </xf>
    <xf numFmtId="164" fontId="114" fillId="39" borderId="96" xfId="77" applyNumberFormat="1" applyFont="1" applyFill="1" applyBorder="1" applyAlignment="1">
      <alignment horizontal="right" vertical="center"/>
      <protection/>
    </xf>
    <xf numFmtId="0" fontId="9" fillId="39" borderId="24" xfId="77" applyFont="1" applyFill="1" applyBorder="1" applyAlignment="1">
      <alignment vertical="center"/>
      <protection/>
    </xf>
    <xf numFmtId="0" fontId="9" fillId="39" borderId="38" xfId="77" applyFont="1" applyFill="1" applyBorder="1" applyAlignment="1">
      <alignment vertical="center"/>
      <protection/>
    </xf>
    <xf numFmtId="164" fontId="115" fillId="39" borderId="96" xfId="77" applyNumberFormat="1" applyFont="1" applyFill="1" applyBorder="1" applyAlignment="1">
      <alignment horizontal="right" vertical="center"/>
      <protection/>
    </xf>
    <xf numFmtId="0" fontId="9" fillId="39" borderId="97" xfId="77" applyFont="1" applyFill="1" applyBorder="1" applyAlignment="1">
      <alignment vertical="center"/>
      <protection/>
    </xf>
    <xf numFmtId="0" fontId="9" fillId="39" borderId="19" xfId="77" applyFont="1" applyFill="1" applyBorder="1" applyAlignment="1">
      <alignment vertical="center"/>
      <protection/>
    </xf>
    <xf numFmtId="3" fontId="9" fillId="39" borderId="19" xfId="77" applyNumberFormat="1" applyFont="1" applyFill="1" applyBorder="1" applyAlignment="1">
      <alignment horizontal="right" vertical="center"/>
      <protection/>
    </xf>
    <xf numFmtId="3" fontId="14" fillId="39" borderId="19" xfId="77" applyNumberFormat="1" applyFont="1" applyFill="1" applyBorder="1" applyAlignment="1">
      <alignment horizontal="right" vertical="center"/>
      <protection/>
    </xf>
    <xf numFmtId="164" fontId="114" fillId="39" borderId="19" xfId="77" applyNumberFormat="1" applyFont="1" applyFill="1" applyBorder="1" applyAlignment="1">
      <alignment horizontal="right" vertical="center"/>
      <protection/>
    </xf>
    <xf numFmtId="3" fontId="115" fillId="39" borderId="93" xfId="77" applyNumberFormat="1" applyFont="1" applyFill="1" applyBorder="1" applyAlignment="1">
      <alignment horizontal="right" vertical="center"/>
      <protection/>
    </xf>
    <xf numFmtId="0" fontId="4" fillId="39" borderId="0" xfId="77" applyFont="1" applyFill="1" applyAlignment="1">
      <alignment horizontal="left" vertical="center"/>
      <protection/>
    </xf>
    <xf numFmtId="0" fontId="4" fillId="39" borderId="0" xfId="77" applyFont="1" applyFill="1" applyAlignment="1">
      <alignment vertical="center"/>
      <protection/>
    </xf>
    <xf numFmtId="0" fontId="6" fillId="39" borderId="0" xfId="77" applyFont="1" applyFill="1" applyAlignment="1">
      <alignment vertical="center"/>
      <protection/>
    </xf>
    <xf numFmtId="164" fontId="6" fillId="39" borderId="0" xfId="77" applyNumberFormat="1" applyFont="1" applyFill="1" applyBorder="1" applyAlignment="1">
      <alignment horizontal="right" vertical="center"/>
      <protection/>
    </xf>
    <xf numFmtId="164" fontId="6" fillId="39" borderId="0" xfId="77" applyNumberFormat="1" applyFont="1" applyFill="1" applyAlignment="1">
      <alignment vertical="center"/>
      <protection/>
    </xf>
    <xf numFmtId="0" fontId="9" fillId="39" borderId="11" xfId="77" applyFont="1" applyFill="1" applyBorder="1" applyAlignment="1">
      <alignment horizontal="center" vertical="center"/>
      <protection/>
    </xf>
    <xf numFmtId="0" fontId="9" fillId="39" borderId="11" xfId="77" applyFont="1" applyFill="1" applyBorder="1" applyAlignment="1">
      <alignment horizontal="center" vertical="center" wrapText="1"/>
      <protection/>
    </xf>
    <xf numFmtId="0" fontId="9" fillId="39" borderId="48" xfId="77" applyFont="1" applyFill="1" applyBorder="1" applyAlignment="1">
      <alignment horizontal="center" vertical="center" wrapText="1"/>
      <protection/>
    </xf>
    <xf numFmtId="0" fontId="9" fillId="39" borderId="48" xfId="77" applyFont="1" applyFill="1" applyBorder="1" applyAlignment="1">
      <alignment horizontal="center" vertical="center"/>
      <protection/>
    </xf>
    <xf numFmtId="0" fontId="9" fillId="39" borderId="92" xfId="77" applyFont="1" applyFill="1" applyBorder="1" applyAlignment="1">
      <alignment horizontal="center" vertical="center"/>
      <protection/>
    </xf>
    <xf numFmtId="0" fontId="9" fillId="39" borderId="92" xfId="77" applyFont="1" applyFill="1" applyBorder="1" applyAlignment="1">
      <alignment horizontal="center" vertical="center" wrapText="1"/>
      <protection/>
    </xf>
    <xf numFmtId="0" fontId="9" fillId="39" borderId="17" xfId="77" applyFont="1" applyFill="1" applyBorder="1" applyAlignment="1">
      <alignment horizontal="center" vertical="center"/>
      <protection/>
    </xf>
    <xf numFmtId="165" fontId="4" fillId="39" borderId="55" xfId="76" applyNumberFormat="1" applyFont="1" applyFill="1" applyBorder="1" applyAlignment="1">
      <alignment horizontal="center" vertical="center"/>
      <protection/>
    </xf>
    <xf numFmtId="3" fontId="4" fillId="39" borderId="55" xfId="77" applyNumberFormat="1" applyFont="1" applyFill="1" applyBorder="1" applyAlignment="1">
      <alignment horizontal="center" vertical="center" wrapText="1"/>
      <protection/>
    </xf>
    <xf numFmtId="3" fontId="4" fillId="39" borderId="165" xfId="77" applyNumberFormat="1" applyFont="1" applyFill="1" applyBorder="1" applyAlignment="1">
      <alignment horizontal="center" vertical="center" wrapText="1"/>
      <protection/>
    </xf>
    <xf numFmtId="164" fontId="6" fillId="39" borderId="165" xfId="77" applyNumberFormat="1" applyFont="1" applyFill="1" applyBorder="1" applyAlignment="1">
      <alignment horizontal="center" vertical="center"/>
      <protection/>
    </xf>
    <xf numFmtId="164" fontId="6" fillId="39" borderId="89" xfId="77" applyNumberFormat="1" applyFont="1" applyFill="1" applyBorder="1" applyAlignment="1">
      <alignment horizontal="center" vertical="center"/>
      <protection/>
    </xf>
    <xf numFmtId="165" fontId="4" fillId="39" borderId="22" xfId="76" applyNumberFormat="1" applyFont="1" applyFill="1" applyBorder="1" applyAlignment="1">
      <alignment horizontal="center" vertical="center"/>
      <protection/>
    </xf>
    <xf numFmtId="3" fontId="4" fillId="39" borderId="22" xfId="77" applyNumberFormat="1" applyFont="1" applyFill="1" applyBorder="1" applyAlignment="1">
      <alignment horizontal="center" vertical="center" wrapText="1"/>
      <protection/>
    </xf>
    <xf numFmtId="3" fontId="4" fillId="39" borderId="131" xfId="77" applyNumberFormat="1" applyFont="1" applyFill="1" applyBorder="1" applyAlignment="1">
      <alignment horizontal="center" vertical="center" wrapText="1"/>
      <protection/>
    </xf>
    <xf numFmtId="164" fontId="6" fillId="39" borderId="131" xfId="77" applyNumberFormat="1" applyFont="1" applyFill="1" applyBorder="1" applyAlignment="1">
      <alignment horizontal="center" vertical="center"/>
      <protection/>
    </xf>
    <xf numFmtId="6" fontId="4" fillId="39" borderId="38" xfId="77" applyNumberFormat="1" applyFont="1" applyFill="1" applyBorder="1" applyAlignment="1">
      <alignment horizontal="center" vertical="center"/>
      <protection/>
    </xf>
    <xf numFmtId="164" fontId="6" fillId="39" borderId="96" xfId="77" applyNumberFormat="1" applyFont="1" applyFill="1" applyBorder="1" applyAlignment="1">
      <alignment horizontal="center" vertical="center"/>
      <protection/>
    </xf>
    <xf numFmtId="6" fontId="4" fillId="39" borderId="19" xfId="46" applyNumberFormat="1" applyFont="1" applyFill="1" applyBorder="1" applyAlignment="1">
      <alignment horizontal="center" vertical="center"/>
      <protection/>
    </xf>
    <xf numFmtId="3" fontId="4" fillId="39" borderId="19" xfId="77" applyNumberFormat="1" applyFont="1" applyFill="1" applyBorder="1" applyAlignment="1">
      <alignment horizontal="center" vertical="center" wrapText="1"/>
      <protection/>
    </xf>
    <xf numFmtId="3" fontId="4" fillId="39" borderId="174" xfId="77" applyNumberFormat="1" applyFont="1" applyFill="1" applyBorder="1" applyAlignment="1">
      <alignment horizontal="center" vertical="center" wrapText="1"/>
      <protection/>
    </xf>
    <xf numFmtId="164" fontId="6" fillId="39" borderId="174" xfId="77" applyNumberFormat="1" applyFont="1" applyFill="1" applyBorder="1" applyAlignment="1">
      <alignment horizontal="center" vertical="center"/>
      <protection/>
    </xf>
    <xf numFmtId="8" fontId="4" fillId="39" borderId="19" xfId="77" applyNumberFormat="1" applyFont="1" applyFill="1" applyBorder="1" applyAlignment="1">
      <alignment horizontal="center" vertical="center"/>
      <protection/>
    </xf>
    <xf numFmtId="164" fontId="6" fillId="39" borderId="93" xfId="77" applyNumberFormat="1" applyFont="1" applyFill="1" applyBorder="1" applyAlignment="1">
      <alignment horizontal="center" vertical="center"/>
      <protection/>
    </xf>
    <xf numFmtId="0" fontId="4" fillId="39" borderId="0" xfId="77" applyFont="1" applyFill="1" applyBorder="1" applyAlignment="1">
      <alignment horizontal="left" vertical="center" wrapText="1"/>
      <protection/>
    </xf>
    <xf numFmtId="0" fontId="113" fillId="39" borderId="118" xfId="77" applyFont="1" applyFill="1" applyBorder="1" applyAlignment="1">
      <alignment vertical="center"/>
      <protection/>
    </xf>
    <xf numFmtId="0" fontId="113" fillId="39" borderId="0" xfId="46" applyFont="1" applyFill="1" applyBorder="1" applyAlignment="1">
      <alignment horizontal="right"/>
      <protection/>
    </xf>
    <xf numFmtId="166" fontId="113" fillId="39" borderId="118" xfId="77" applyNumberFormat="1" applyFont="1" applyFill="1" applyBorder="1" applyAlignment="1">
      <alignment horizontal="right" vertical="center"/>
      <protection/>
    </xf>
    <xf numFmtId="164" fontId="113" fillId="39" borderId="118" xfId="77" applyNumberFormat="1" applyFont="1" applyFill="1" applyBorder="1" applyAlignment="1">
      <alignment horizontal="right" vertical="center"/>
      <protection/>
    </xf>
    <xf numFmtId="0" fontId="15" fillId="39" borderId="0" xfId="77" applyFont="1" applyFill="1" applyBorder="1" applyAlignment="1">
      <alignment vertical="center"/>
      <protection/>
    </xf>
    <xf numFmtId="0" fontId="113" fillId="39" borderId="118" xfId="77" applyFont="1" applyFill="1" applyBorder="1" applyAlignment="1">
      <alignment horizontal="right" vertical="center"/>
      <protection/>
    </xf>
    <xf numFmtId="3" fontId="116" fillId="39" borderId="0" xfId="77" applyNumberFormat="1" applyFont="1" applyFill="1" applyBorder="1" applyAlignment="1">
      <alignment horizontal="right" vertical="center"/>
      <protection/>
    </xf>
    <xf numFmtId="164" fontId="116" fillId="39" borderId="0" xfId="77" applyNumberFormat="1" applyFont="1" applyFill="1" applyBorder="1" applyAlignment="1">
      <alignment horizontal="right" vertical="center"/>
      <protection/>
    </xf>
    <xf numFmtId="0" fontId="12" fillId="39" borderId="145" xfId="77" applyFont="1" applyFill="1" applyBorder="1" applyAlignment="1">
      <alignment horizontal="left" vertical="center"/>
      <protection/>
    </xf>
    <xf numFmtId="0" fontId="12" fillId="39" borderId="120" xfId="77" applyFont="1" applyFill="1" applyBorder="1" applyAlignment="1">
      <alignment horizontal="left" vertical="center"/>
      <protection/>
    </xf>
    <xf numFmtId="0" fontId="9" fillId="39" borderId="39" xfId="77" applyFont="1" applyFill="1" applyBorder="1" applyAlignment="1">
      <alignment horizontal="left" vertical="center"/>
      <protection/>
    </xf>
    <xf numFmtId="0" fontId="9" fillId="39" borderId="43" xfId="77" applyFont="1" applyFill="1" applyBorder="1" applyAlignment="1">
      <alignment horizontal="left" vertical="center"/>
      <protection/>
    </xf>
    <xf numFmtId="0" fontId="9" fillId="39" borderId="174" xfId="77" applyFont="1" applyFill="1" applyBorder="1" applyAlignment="1">
      <alignment horizontal="left" vertical="center"/>
      <protection/>
    </xf>
    <xf numFmtId="0" fontId="9" fillId="39" borderId="101" xfId="77" applyFont="1" applyFill="1" applyBorder="1" applyAlignment="1">
      <alignment horizontal="left" vertical="center"/>
      <protection/>
    </xf>
    <xf numFmtId="0" fontId="6" fillId="39" borderId="39" xfId="77" applyFont="1" applyFill="1" applyBorder="1" applyAlignment="1">
      <alignment horizontal="left" vertical="center"/>
      <protection/>
    </xf>
    <xf numFmtId="0" fontId="6" fillId="39" borderId="43" xfId="77" applyFont="1" applyFill="1" applyBorder="1" applyAlignment="1">
      <alignment horizontal="left" vertical="center"/>
      <protection/>
    </xf>
    <xf numFmtId="0" fontId="6" fillId="39" borderId="174" xfId="77" applyFont="1" applyFill="1" applyBorder="1" applyAlignment="1">
      <alignment horizontal="left" vertical="center"/>
      <protection/>
    </xf>
    <xf numFmtId="0" fontId="6" fillId="39" borderId="101" xfId="77" applyFont="1" applyFill="1" applyBorder="1" applyAlignment="1">
      <alignment horizontal="left" vertical="center"/>
      <protection/>
    </xf>
    <xf numFmtId="0" fontId="12" fillId="39" borderId="48" xfId="77" applyFont="1" applyFill="1" applyBorder="1" applyAlignment="1">
      <alignment horizontal="left" vertical="center"/>
      <protection/>
    </xf>
    <xf numFmtId="0" fontId="12" fillId="39" borderId="26" xfId="77" applyFont="1" applyFill="1" applyBorder="1" applyAlignment="1">
      <alignment horizontal="left" vertical="center"/>
      <protection/>
    </xf>
    <xf numFmtId="0" fontId="6" fillId="39" borderId="165" xfId="77" applyFont="1" applyFill="1" applyBorder="1" applyAlignment="1">
      <alignment horizontal="left" vertical="center"/>
      <protection/>
    </xf>
    <xf numFmtId="0" fontId="6" fillId="39" borderId="98" xfId="77" applyFont="1" applyFill="1" applyBorder="1" applyAlignment="1">
      <alignment horizontal="left" vertical="center"/>
      <protection/>
    </xf>
    <xf numFmtId="10" fontId="103" fillId="0" borderId="55" xfId="77" applyNumberFormat="1" applyFont="1" applyFill="1" applyBorder="1" applyAlignment="1">
      <alignment horizontal="center" vertical="center" wrapText="1"/>
      <protection/>
    </xf>
    <xf numFmtId="10" fontId="103" fillId="0" borderId="38" xfId="77" applyNumberFormat="1" applyFont="1" applyFill="1" applyBorder="1" applyAlignment="1">
      <alignment horizontal="center" vertical="center" wrapText="1"/>
      <protection/>
    </xf>
    <xf numFmtId="10" fontId="103" fillId="0" borderId="19" xfId="77" applyNumberFormat="1" applyFont="1" applyFill="1" applyBorder="1" applyAlignment="1">
      <alignment horizontal="center" vertical="center" wrapText="1"/>
      <protection/>
    </xf>
    <xf numFmtId="49" fontId="4" fillId="0" borderId="55" xfId="77" applyNumberFormat="1" applyFont="1" applyFill="1" applyBorder="1" applyAlignment="1">
      <alignment horizontal="center" vertical="center" wrapText="1"/>
      <protection/>
    </xf>
    <xf numFmtId="49" fontId="4" fillId="0" borderId="38" xfId="77" applyNumberFormat="1" applyFont="1" applyFill="1" applyBorder="1" applyAlignment="1">
      <alignment horizontal="center" vertical="center" wrapText="1"/>
      <protection/>
    </xf>
    <xf numFmtId="49" fontId="4" fillId="0" borderId="19" xfId="77" applyNumberFormat="1" applyFont="1" applyFill="1" applyBorder="1" applyAlignment="1">
      <alignment horizontal="center" vertical="center" wrapText="1"/>
      <protection/>
    </xf>
    <xf numFmtId="49" fontId="103" fillId="0" borderId="89" xfId="77" applyNumberFormat="1" applyFont="1" applyFill="1" applyBorder="1" applyAlignment="1">
      <alignment horizontal="center" vertical="center" wrapText="1"/>
      <protection/>
    </xf>
    <xf numFmtId="49" fontId="103" fillId="0" borderId="96" xfId="77" applyNumberFormat="1" applyFont="1" applyFill="1" applyBorder="1" applyAlignment="1">
      <alignment horizontal="center" vertical="center" wrapText="1"/>
      <protection/>
    </xf>
    <xf numFmtId="49" fontId="103" fillId="0" borderId="93" xfId="77" applyNumberFormat="1" applyFont="1" applyFill="1" applyBorder="1" applyAlignment="1">
      <alignment horizontal="center" vertical="center" wrapText="1"/>
      <protection/>
    </xf>
    <xf numFmtId="1" fontId="4" fillId="0" borderId="48" xfId="77" applyNumberFormat="1" applyFont="1" applyFill="1" applyBorder="1" applyAlignment="1">
      <alignment horizontal="center" vertical="center"/>
      <protection/>
    </xf>
    <xf numFmtId="1" fontId="4" fillId="0" borderId="26" xfId="77" applyNumberFormat="1" applyFont="1" applyFill="1" applyBorder="1" applyAlignment="1">
      <alignment horizontal="center" vertical="center"/>
      <protection/>
    </xf>
    <xf numFmtId="0" fontId="4" fillId="39" borderId="97" xfId="76" applyFont="1" applyFill="1" applyBorder="1" applyAlignment="1">
      <alignment horizontal="left" vertical="center" wrapText="1"/>
      <protection/>
    </xf>
    <xf numFmtId="0" fontId="4" fillId="39" borderId="19" xfId="76" applyFont="1" applyFill="1" applyBorder="1" applyAlignment="1">
      <alignment horizontal="left" vertical="center" wrapText="1"/>
      <protection/>
    </xf>
    <xf numFmtId="0" fontId="4" fillId="39" borderId="24" xfId="77" applyFont="1" applyFill="1" applyBorder="1" applyAlignment="1">
      <alignment horizontal="left" vertical="center" wrapText="1"/>
      <protection/>
    </xf>
    <xf numFmtId="0" fontId="4" fillId="39" borderId="38" xfId="77" applyFont="1" applyFill="1" applyBorder="1" applyAlignment="1">
      <alignment horizontal="left" vertical="center" wrapText="1"/>
      <protection/>
    </xf>
    <xf numFmtId="0" fontId="4" fillId="39" borderId="97" xfId="77" applyFont="1" applyFill="1" applyBorder="1" applyAlignment="1">
      <alignment horizontal="left" vertical="center" wrapText="1"/>
      <protection/>
    </xf>
    <xf numFmtId="0" fontId="4" fillId="39" borderId="19" xfId="77" applyFont="1" applyFill="1" applyBorder="1" applyAlignment="1">
      <alignment horizontal="left" vertical="center" wrapText="1"/>
      <protection/>
    </xf>
    <xf numFmtId="0" fontId="8" fillId="39" borderId="0" xfId="77" applyFont="1" applyFill="1" applyBorder="1" applyAlignment="1">
      <alignment horizontal="left" vertical="center"/>
      <protection/>
    </xf>
    <xf numFmtId="0" fontId="4" fillId="0" borderId="13" xfId="77" applyFont="1" applyFill="1" applyBorder="1" applyAlignment="1">
      <alignment horizontal="center" vertical="center" textRotation="90" wrapText="1"/>
      <protection/>
    </xf>
    <xf numFmtId="0" fontId="4" fillId="0" borderId="187" xfId="77" applyFont="1" applyFill="1" applyBorder="1" applyAlignment="1">
      <alignment horizontal="center" vertical="center" textRotation="90" wrapText="1"/>
      <protection/>
    </xf>
    <xf numFmtId="0" fontId="4" fillId="0" borderId="14" xfId="77" applyFont="1" applyFill="1" applyBorder="1" applyAlignment="1">
      <alignment horizontal="center" vertical="center" textRotation="90" wrapText="1"/>
      <protection/>
    </xf>
    <xf numFmtId="0" fontId="4" fillId="0" borderId="129" xfId="77" applyFont="1" applyFill="1" applyBorder="1" applyAlignment="1">
      <alignment horizontal="center" vertical="center" textRotation="90" wrapText="1"/>
      <protection/>
    </xf>
    <xf numFmtId="49" fontId="4" fillId="0" borderId="92" xfId="77" applyNumberFormat="1" applyFont="1" applyFill="1" applyBorder="1" applyAlignment="1">
      <alignment horizontal="center" vertical="center" wrapText="1"/>
      <protection/>
    </xf>
    <xf numFmtId="49" fontId="4" fillId="0" borderId="95" xfId="77" applyNumberFormat="1" applyFont="1" applyFill="1" applyBorder="1" applyAlignment="1">
      <alignment horizontal="center" vertical="center" wrapText="1"/>
      <protection/>
    </xf>
    <xf numFmtId="49" fontId="4" fillId="0" borderId="12" xfId="77" applyNumberFormat="1" applyFont="1" applyFill="1" applyBorder="1" applyAlignment="1">
      <alignment horizontal="center" vertical="center" wrapText="1"/>
      <protection/>
    </xf>
    <xf numFmtId="0" fontId="4" fillId="0" borderId="189" xfId="77" applyFont="1" applyFill="1" applyBorder="1" applyAlignment="1">
      <alignment horizontal="center" vertical="center" wrapText="1"/>
      <protection/>
    </xf>
    <xf numFmtId="0" fontId="4" fillId="0" borderId="15" xfId="77" applyFont="1" applyFill="1" applyBorder="1" applyAlignment="1">
      <alignment horizontal="center" vertical="center" wrapText="1"/>
      <protection/>
    </xf>
    <xf numFmtId="0" fontId="4" fillId="0" borderId="16" xfId="77" applyFont="1" applyFill="1" applyBorder="1" applyAlignment="1">
      <alignment horizontal="center" vertical="center" wrapText="1"/>
      <protection/>
    </xf>
    <xf numFmtId="0" fontId="4" fillId="0" borderId="117" xfId="77" applyFont="1" applyFill="1" applyBorder="1" applyAlignment="1">
      <alignment horizontal="center" vertical="center" wrapText="1"/>
      <protection/>
    </xf>
    <xf numFmtId="0" fontId="4" fillId="0" borderId="0" xfId="77" applyFont="1" applyFill="1" applyBorder="1" applyAlignment="1">
      <alignment horizontal="center" vertical="center" wrapText="1"/>
      <protection/>
    </xf>
    <xf numFmtId="0" fontId="4" fillId="0" borderId="130" xfId="77" applyFont="1" applyFill="1" applyBorder="1" applyAlignment="1">
      <alignment horizontal="center" vertical="center" wrapText="1"/>
      <protection/>
    </xf>
    <xf numFmtId="0" fontId="4" fillId="0" borderId="119" xfId="77" applyFont="1" applyFill="1" applyBorder="1" applyAlignment="1">
      <alignment horizontal="center" vertical="center" wrapText="1"/>
      <protection/>
    </xf>
    <xf numFmtId="0" fontId="4" fillId="0" borderId="120" xfId="77" applyFont="1" applyFill="1" applyBorder="1" applyAlignment="1">
      <alignment horizontal="center" vertical="center" wrapText="1"/>
      <protection/>
    </xf>
    <xf numFmtId="0" fontId="4" fillId="0" borderId="169" xfId="77" applyFont="1" applyFill="1" applyBorder="1" applyAlignment="1">
      <alignment horizontal="center" vertical="center" wrapText="1"/>
      <protection/>
    </xf>
    <xf numFmtId="0" fontId="6" fillId="39" borderId="15" xfId="77" applyFont="1" applyFill="1" applyBorder="1" applyAlignment="1">
      <alignment horizontal="center" vertical="center"/>
      <protection/>
    </xf>
    <xf numFmtId="0" fontId="6" fillId="39" borderId="190" xfId="77" applyFont="1" applyFill="1" applyBorder="1" applyAlignment="1">
      <alignment horizontal="center" vertical="center"/>
      <protection/>
    </xf>
    <xf numFmtId="0" fontId="4" fillId="39" borderId="99" xfId="76" applyFont="1" applyFill="1" applyBorder="1" applyAlignment="1">
      <alignment horizontal="left" vertical="center" wrapText="1"/>
      <protection/>
    </xf>
    <xf numFmtId="0" fontId="4" fillId="39" borderId="43" xfId="76" applyFont="1" applyFill="1" applyBorder="1" applyAlignment="1">
      <alignment horizontal="left" vertical="center" wrapText="1"/>
      <protection/>
    </xf>
    <xf numFmtId="0" fontId="4" fillId="39" borderId="42" xfId="76" applyFont="1" applyFill="1" applyBorder="1" applyAlignment="1">
      <alignment horizontal="left" vertical="center" wrapText="1"/>
      <protection/>
    </xf>
    <xf numFmtId="0" fontId="63" fillId="39" borderId="0" xfId="77" applyFont="1" applyFill="1" applyAlignment="1">
      <alignment horizontal="center" vertical="center" wrapText="1"/>
      <protection/>
    </xf>
    <xf numFmtId="0" fontId="9" fillId="39" borderId="10" xfId="77" applyFont="1" applyFill="1" applyBorder="1" applyAlignment="1">
      <alignment horizontal="center" vertical="center"/>
      <protection/>
    </xf>
    <xf numFmtId="0" fontId="9" fillId="39" borderId="11" xfId="77" applyFont="1" applyFill="1" applyBorder="1" applyAlignment="1">
      <alignment horizontal="center" vertical="center"/>
      <protection/>
    </xf>
    <xf numFmtId="0" fontId="9" fillId="39" borderId="13" xfId="77" applyFont="1" applyFill="1" applyBorder="1" applyAlignment="1">
      <alignment horizontal="center" vertical="center"/>
      <protection/>
    </xf>
    <xf numFmtId="0" fontId="9" fillId="39" borderId="92" xfId="77" applyFont="1" applyFill="1" applyBorder="1" applyAlignment="1">
      <alignment horizontal="center" vertical="center"/>
      <protection/>
    </xf>
    <xf numFmtId="0" fontId="4" fillId="39" borderId="88" xfId="77" applyFont="1" applyFill="1" applyBorder="1" applyAlignment="1">
      <alignment horizontal="left" vertical="center" wrapText="1"/>
      <protection/>
    </xf>
    <xf numFmtId="0" fontId="4" fillId="39" borderId="98" xfId="77" applyFont="1" applyFill="1" applyBorder="1" applyAlignment="1">
      <alignment horizontal="left" vertical="center" wrapText="1"/>
      <protection/>
    </xf>
    <xf numFmtId="0" fontId="4" fillId="39" borderId="170" xfId="77" applyFont="1" applyFill="1" applyBorder="1" applyAlignment="1">
      <alignment horizontal="left" vertical="center" wrapText="1"/>
      <protection/>
    </xf>
    <xf numFmtId="0" fontId="4" fillId="39" borderId="90" xfId="76" applyFont="1" applyFill="1" applyBorder="1" applyAlignment="1">
      <alignment horizontal="left" vertical="center" wrapText="1"/>
      <protection/>
    </xf>
    <xf numFmtId="0" fontId="4" fillId="39" borderId="55" xfId="76" applyFont="1" applyFill="1" applyBorder="1" applyAlignment="1">
      <alignment horizontal="left" vertical="center" wrapText="1"/>
      <protection/>
    </xf>
    <xf numFmtId="0" fontId="98" fillId="0" borderId="191" xfId="50" applyFont="1" applyFill="1" applyBorder="1" applyAlignment="1">
      <alignment horizontal="center" vertical="center" wrapText="1"/>
      <protection/>
    </xf>
    <xf numFmtId="0" fontId="98" fillId="0" borderId="192" xfId="50" applyFont="1" applyFill="1" applyBorder="1" applyAlignment="1">
      <alignment horizontal="center" vertical="center" wrapText="1"/>
      <protection/>
    </xf>
    <xf numFmtId="0" fontId="50" fillId="0" borderId="55" xfId="50" applyFont="1" applyFill="1" applyBorder="1" applyAlignment="1">
      <alignment horizontal="center" vertical="center" wrapText="1"/>
      <protection/>
    </xf>
    <xf numFmtId="0" fontId="50" fillId="0" borderId="19" xfId="50" applyFont="1" applyFill="1" applyBorder="1" applyAlignment="1">
      <alignment horizontal="center" vertical="center" wrapText="1"/>
      <protection/>
    </xf>
    <xf numFmtId="0" fontId="98" fillId="7" borderId="55" xfId="50" applyFont="1" applyFill="1" applyBorder="1" applyAlignment="1">
      <alignment horizontal="center" vertical="center" wrapText="1"/>
      <protection/>
    </xf>
    <xf numFmtId="0" fontId="98" fillId="7" borderId="19" xfId="50" applyFont="1" applyFill="1" applyBorder="1" applyAlignment="1">
      <alignment horizontal="center" vertical="center" wrapText="1"/>
      <protection/>
    </xf>
    <xf numFmtId="0" fontId="98" fillId="0" borderId="90" xfId="50" applyFont="1" applyFill="1" applyBorder="1" applyAlignment="1">
      <alignment horizontal="center" vertical="center" wrapText="1"/>
      <protection/>
    </xf>
    <xf numFmtId="0" fontId="98" fillId="0" borderId="97" xfId="50" applyFont="1" applyFill="1" applyBorder="1" applyAlignment="1">
      <alignment horizontal="center" vertical="center" wrapText="1"/>
      <protection/>
    </xf>
    <xf numFmtId="0" fontId="98" fillId="0" borderId="55" xfId="50" applyFont="1" applyFill="1" applyBorder="1" applyAlignment="1">
      <alignment horizontal="center" vertical="center" wrapText="1"/>
      <protection/>
    </xf>
    <xf numFmtId="0" fontId="98" fillId="0" borderId="19" xfId="50" applyFont="1" applyFill="1" applyBorder="1" applyAlignment="1">
      <alignment horizontal="center" vertical="center" wrapText="1"/>
      <protection/>
    </xf>
    <xf numFmtId="0" fontId="50" fillId="0" borderId="89" xfId="50" applyFont="1" applyFill="1" applyBorder="1" applyAlignment="1">
      <alignment horizontal="center" vertical="center" wrapText="1"/>
      <protection/>
    </xf>
    <xf numFmtId="0" fontId="50" fillId="0" borderId="93" xfId="50" applyFont="1" applyFill="1" applyBorder="1" applyAlignment="1">
      <alignment horizontal="center" vertical="center" wrapText="1"/>
      <protection/>
    </xf>
    <xf numFmtId="0" fontId="102" fillId="7" borderId="0" xfId="50" applyFont="1" applyFill="1" applyAlignment="1">
      <alignment horizontal="left" vertical="center" wrapText="1"/>
      <protection/>
    </xf>
    <xf numFmtId="0" fontId="98" fillId="0" borderId="47" xfId="50" applyFont="1" applyBorder="1" applyAlignment="1">
      <alignment horizontal="left" vertical="center"/>
      <protection/>
    </xf>
    <xf numFmtId="0" fontId="98" fillId="0" borderId="193" xfId="50" applyFont="1" applyBorder="1" applyAlignment="1">
      <alignment horizontal="left" vertical="center"/>
      <protection/>
    </xf>
    <xf numFmtId="0" fontId="98" fillId="0" borderId="39" xfId="50" applyFont="1" applyBorder="1" applyAlignment="1">
      <alignment horizontal="left" vertical="center"/>
      <protection/>
    </xf>
    <xf numFmtId="0" fontId="98" fillId="0" borderId="42" xfId="50" applyFont="1" applyBorder="1" applyAlignment="1">
      <alignment horizontal="left" vertical="center"/>
      <protection/>
    </xf>
    <xf numFmtId="0" fontId="98" fillId="0" borderId="131" xfId="50" applyFont="1" applyBorder="1" applyAlignment="1">
      <alignment horizontal="left" vertical="center"/>
      <protection/>
    </xf>
    <xf numFmtId="0" fontId="98" fillId="0" borderId="132" xfId="50" applyFont="1" applyBorder="1" applyAlignment="1">
      <alignment horizontal="left" vertical="center"/>
      <protection/>
    </xf>
    <xf numFmtId="0" fontId="32" fillId="0" borderId="0" xfId="46" applyFont="1" applyAlignment="1">
      <alignment horizontal="left" vertical="center"/>
      <protection/>
    </xf>
    <xf numFmtId="170" fontId="36" fillId="0" borderId="0" xfId="46" applyNumberFormat="1" applyFont="1" applyAlignment="1">
      <alignment horizontal="left" vertical="center" wrapText="1"/>
      <protection/>
    </xf>
    <xf numFmtId="0" fontId="18" fillId="2" borderId="194" xfId="49" applyFont="1" applyFill="1" applyBorder="1" applyAlignment="1">
      <alignment horizontal="center" vertical="center" wrapText="1"/>
      <protection/>
    </xf>
    <xf numFmtId="0" fontId="18" fillId="2" borderId="142" xfId="49" applyFont="1" applyFill="1" applyBorder="1" applyAlignment="1">
      <alignment horizontal="center" vertical="center" wrapText="1"/>
      <protection/>
    </xf>
    <xf numFmtId="164" fontId="18" fillId="2" borderId="99" xfId="80" applyNumberFormat="1" applyFont="1" applyFill="1" applyBorder="1" applyAlignment="1" applyProtection="1">
      <alignment horizontal="center" vertical="center" wrapText="1"/>
      <protection/>
    </xf>
    <xf numFmtId="164" fontId="18" fillId="2" borderId="43" xfId="80" applyNumberFormat="1" applyFont="1" applyFill="1" applyBorder="1" applyAlignment="1" applyProtection="1">
      <alignment horizontal="center" vertical="center" wrapText="1"/>
      <protection/>
    </xf>
    <xf numFmtId="164" fontId="18" fillId="7" borderId="195" xfId="80" applyNumberFormat="1" applyFont="1" applyFill="1" applyBorder="1" applyAlignment="1" applyProtection="1">
      <alignment horizontal="center" vertical="center" wrapText="1"/>
      <protection/>
    </xf>
    <xf numFmtId="164" fontId="18" fillId="7" borderId="193" xfId="80" applyNumberFormat="1" applyFont="1" applyFill="1" applyBorder="1" applyAlignment="1" applyProtection="1">
      <alignment horizontal="center" vertical="center" wrapText="1"/>
      <protection/>
    </xf>
    <xf numFmtId="164" fontId="18" fillId="7" borderId="144" xfId="80" applyNumberFormat="1" applyFont="1" applyFill="1" applyBorder="1" applyAlignment="1" applyProtection="1">
      <alignment horizontal="center" vertical="center" wrapText="1"/>
      <protection/>
    </xf>
    <xf numFmtId="164" fontId="18" fillId="7" borderId="169" xfId="80" applyNumberFormat="1" applyFont="1" applyFill="1" applyBorder="1" applyAlignment="1" applyProtection="1">
      <alignment horizontal="center" vertical="center" wrapText="1"/>
      <protection/>
    </xf>
    <xf numFmtId="49" fontId="18" fillId="0" borderId="88" xfId="49" applyNumberFormat="1" applyFont="1" applyFill="1" applyBorder="1" applyAlignment="1" applyProtection="1">
      <alignment horizontal="center" vertical="center"/>
      <protection/>
    </xf>
    <xf numFmtId="49" fontId="18" fillId="0" borderId="123" xfId="49" applyNumberFormat="1" applyFont="1" applyFill="1" applyBorder="1" applyAlignment="1" applyProtection="1">
      <alignment horizontal="center" vertical="center"/>
      <protection/>
    </xf>
    <xf numFmtId="0" fontId="18" fillId="7" borderId="156" xfId="49" applyFont="1" applyFill="1" applyBorder="1" applyAlignment="1">
      <alignment horizontal="center" vertical="center"/>
      <protection/>
    </xf>
    <xf numFmtId="0" fontId="18" fillId="7" borderId="157" xfId="49" applyFont="1" applyFill="1" applyBorder="1" applyAlignment="1">
      <alignment horizontal="center" vertical="center"/>
      <protection/>
    </xf>
    <xf numFmtId="0" fontId="18" fillId="7" borderId="99" xfId="49" applyFont="1" applyFill="1" applyBorder="1" applyAlignment="1">
      <alignment horizontal="center" vertical="center"/>
      <protection/>
    </xf>
    <xf numFmtId="0" fontId="18" fillId="7" borderId="43" xfId="49" applyFont="1" applyFill="1" applyBorder="1" applyAlignment="1">
      <alignment horizontal="center" vertical="center"/>
      <protection/>
    </xf>
    <xf numFmtId="0" fontId="18" fillId="7" borderId="167" xfId="49" applyFont="1" applyFill="1" applyBorder="1" applyAlignment="1">
      <alignment horizontal="center" vertical="center"/>
      <protection/>
    </xf>
    <xf numFmtId="0" fontId="18" fillId="0" borderId="25" xfId="49" applyNumberFormat="1" applyFont="1" applyFill="1" applyBorder="1" applyAlignment="1" applyProtection="1">
      <alignment horizontal="left" vertical="center" wrapText="1"/>
      <protection/>
    </xf>
    <xf numFmtId="0" fontId="18" fillId="0" borderId="91" xfId="49" applyNumberFormat="1" applyFont="1" applyFill="1" applyBorder="1" applyAlignment="1" applyProtection="1">
      <alignment horizontal="left" vertical="center" wrapText="1"/>
      <protection/>
    </xf>
    <xf numFmtId="0" fontId="18" fillId="7" borderId="144" xfId="49" applyFont="1" applyFill="1" applyBorder="1" applyAlignment="1">
      <alignment horizontal="center" vertical="center"/>
      <protection/>
    </xf>
    <xf numFmtId="0" fontId="18" fillId="0" borderId="189" xfId="49" applyNumberFormat="1" applyFont="1" applyFill="1" applyBorder="1" applyAlignment="1" applyProtection="1">
      <alignment horizontal="center" vertical="center" wrapText="1"/>
      <protection/>
    </xf>
    <xf numFmtId="0" fontId="18" fillId="0" borderId="15" xfId="49" applyNumberFormat="1" applyFont="1" applyFill="1" applyBorder="1" applyAlignment="1" applyProtection="1">
      <alignment horizontal="center" vertical="center" wrapText="1"/>
      <protection/>
    </xf>
    <xf numFmtId="0" fontId="18" fillId="0" borderId="117" xfId="49" applyNumberFormat="1" applyFont="1" applyFill="1" applyBorder="1" applyAlignment="1" applyProtection="1">
      <alignment horizontal="center" vertical="center" wrapText="1"/>
      <protection/>
    </xf>
    <xf numFmtId="0" fontId="18" fillId="0" borderId="0" xfId="49" applyNumberFormat="1" applyFont="1" applyFill="1" applyBorder="1" applyAlignment="1" applyProtection="1">
      <alignment horizontal="center" vertical="center" wrapText="1"/>
      <protection/>
    </xf>
    <xf numFmtId="0" fontId="18" fillId="0" borderId="119" xfId="49" applyNumberFormat="1" applyFont="1" applyFill="1" applyBorder="1" applyAlignment="1" applyProtection="1">
      <alignment horizontal="center" vertical="center" wrapText="1"/>
      <protection/>
    </xf>
    <xf numFmtId="0" fontId="18" fillId="0" borderId="120" xfId="49" applyNumberFormat="1" applyFont="1" applyFill="1" applyBorder="1" applyAlignment="1" applyProtection="1">
      <alignment horizontal="center" vertical="center" wrapText="1"/>
      <protection/>
    </xf>
    <xf numFmtId="164" fontId="19" fillId="4" borderId="88" xfId="80" applyNumberFormat="1" applyFont="1" applyFill="1" applyBorder="1" applyAlignment="1" applyProtection="1">
      <alignment horizontal="center" vertical="center"/>
      <protection/>
    </xf>
    <xf numFmtId="164" fontId="19" fillId="4" borderId="98" xfId="80" applyNumberFormat="1" applyFont="1" applyFill="1" applyBorder="1" applyAlignment="1" applyProtection="1">
      <alignment horizontal="center" vertical="center"/>
      <protection/>
    </xf>
    <xf numFmtId="164" fontId="19" fillId="4" borderId="123" xfId="80" applyNumberFormat="1" applyFont="1" applyFill="1" applyBorder="1" applyAlignment="1" applyProtection="1">
      <alignment horizontal="center" vertical="center"/>
      <protection/>
    </xf>
    <xf numFmtId="0" fontId="18" fillId="4" borderId="94" xfId="49" applyFont="1" applyFill="1" applyBorder="1" applyAlignment="1">
      <alignment horizontal="center" vertical="center" wrapText="1"/>
      <protection/>
    </xf>
    <xf numFmtId="0" fontId="18" fillId="4" borderId="46" xfId="49" applyFont="1" applyFill="1" applyBorder="1" applyAlignment="1">
      <alignment horizontal="center" vertical="center" wrapText="1"/>
      <protection/>
    </xf>
    <xf numFmtId="0" fontId="18" fillId="4" borderId="18" xfId="49" applyFont="1" applyFill="1" applyBorder="1" applyAlignment="1">
      <alignment horizontal="center" vertical="center" wrapText="1"/>
      <protection/>
    </xf>
    <xf numFmtId="0" fontId="18" fillId="4" borderId="12" xfId="49" applyFont="1" applyFill="1" applyBorder="1" applyAlignment="1">
      <alignment horizontal="center" vertical="center" wrapText="1"/>
      <protection/>
    </xf>
    <xf numFmtId="164" fontId="18" fillId="2" borderId="88" xfId="80" applyNumberFormat="1" applyFont="1" applyFill="1" applyBorder="1" applyAlignment="1" applyProtection="1">
      <alignment horizontal="center" vertical="center" wrapText="1"/>
      <protection/>
    </xf>
    <xf numFmtId="164" fontId="18" fillId="2" borderId="98" xfId="80" applyNumberFormat="1" applyFont="1" applyFill="1" applyBorder="1" applyAlignment="1" applyProtection="1">
      <alignment horizontal="center" vertical="center" wrapText="1"/>
      <protection/>
    </xf>
    <xf numFmtId="164" fontId="18" fillId="2" borderId="123" xfId="80" applyNumberFormat="1" applyFont="1" applyFill="1" applyBorder="1" applyAlignment="1" applyProtection="1">
      <alignment horizontal="center" vertical="center" wrapText="1"/>
      <protection/>
    </xf>
    <xf numFmtId="0" fontId="18" fillId="4" borderId="104" xfId="49" applyFont="1" applyFill="1" applyBorder="1" applyAlignment="1">
      <alignment horizontal="center" vertical="center" wrapText="1"/>
      <protection/>
    </xf>
    <xf numFmtId="0" fontId="18" fillId="4" borderId="20" xfId="49" applyFont="1" applyFill="1" applyBorder="1" applyAlignment="1">
      <alignment horizontal="center" vertical="center" wrapText="1"/>
      <protection/>
    </xf>
    <xf numFmtId="164" fontId="18" fillId="2" borderId="39" xfId="80" applyNumberFormat="1" applyFont="1" applyFill="1" applyBorder="1" applyAlignment="1" applyProtection="1">
      <alignment horizontal="center" vertical="center"/>
      <protection/>
    </xf>
    <xf numFmtId="164" fontId="18" fillId="2" borderId="43" xfId="80" applyNumberFormat="1" applyFont="1" applyFill="1" applyBorder="1" applyAlignment="1" applyProtection="1">
      <alignment horizontal="center" vertical="center"/>
      <protection/>
    </xf>
    <xf numFmtId="164" fontId="18" fillId="2" borderId="167" xfId="80" applyNumberFormat="1" applyFont="1" applyFill="1" applyBorder="1" applyAlignment="1" applyProtection="1">
      <alignment horizontal="center" vertical="center"/>
      <protection/>
    </xf>
    <xf numFmtId="164" fontId="18" fillId="2" borderId="195" xfId="80" applyNumberFormat="1" applyFont="1" applyFill="1" applyBorder="1" applyAlignment="1" applyProtection="1">
      <alignment horizontal="center" vertical="center" wrapText="1"/>
      <protection/>
    </xf>
    <xf numFmtId="164" fontId="18" fillId="2" borderId="128" xfId="80" applyNumberFormat="1" applyFont="1" applyFill="1" applyBorder="1" applyAlignment="1" applyProtection="1">
      <alignment horizontal="center" vertical="center" wrapText="1"/>
      <protection/>
    </xf>
    <xf numFmtId="164" fontId="18" fillId="2" borderId="144" xfId="80" applyNumberFormat="1" applyFont="1" applyFill="1" applyBorder="1" applyAlignment="1" applyProtection="1">
      <alignment horizontal="center" vertical="center" wrapText="1"/>
      <protection/>
    </xf>
    <xf numFmtId="164" fontId="18" fillId="2" borderId="121" xfId="80" applyNumberFormat="1" applyFont="1" applyFill="1" applyBorder="1" applyAlignment="1" applyProtection="1">
      <alignment horizontal="center" vertical="center" wrapText="1"/>
      <protection/>
    </xf>
    <xf numFmtId="0" fontId="18" fillId="7" borderId="39" xfId="49" applyFont="1" applyFill="1" applyBorder="1" applyAlignment="1">
      <alignment horizontal="center" vertical="center"/>
      <protection/>
    </xf>
    <xf numFmtId="0" fontId="18" fillId="7" borderId="196" xfId="49" applyFont="1" applyFill="1" applyBorder="1" applyAlignment="1">
      <alignment horizontal="center" vertical="center"/>
      <protection/>
    </xf>
    <xf numFmtId="164" fontId="18" fillId="2" borderId="196" xfId="80" applyNumberFormat="1" applyFont="1" applyFill="1" applyBorder="1" applyAlignment="1" applyProtection="1">
      <alignment horizontal="center" vertical="center" wrapText="1"/>
      <protection/>
    </xf>
    <xf numFmtId="164" fontId="18" fillId="2" borderId="157" xfId="80" applyNumberFormat="1" applyFont="1" applyFill="1" applyBorder="1" applyAlignment="1" applyProtection="1">
      <alignment horizontal="center" vertical="center" wrapText="1"/>
      <protection/>
    </xf>
    <xf numFmtId="0" fontId="19" fillId="7" borderId="90" xfId="49" applyFont="1" applyFill="1" applyBorder="1" applyAlignment="1">
      <alignment horizontal="center" vertical="center"/>
      <protection/>
    </xf>
    <xf numFmtId="0" fontId="19" fillId="7" borderId="55" xfId="49" applyFont="1" applyFill="1" applyBorder="1" applyAlignment="1">
      <alignment horizontal="center" vertical="center"/>
      <protection/>
    </xf>
    <xf numFmtId="0" fontId="19" fillId="7" borderId="89" xfId="49" applyFont="1" applyFill="1" applyBorder="1" applyAlignment="1">
      <alignment horizontal="center" vertical="center"/>
      <protection/>
    </xf>
    <xf numFmtId="0" fontId="18" fillId="3" borderId="158" xfId="49" applyFont="1" applyFill="1" applyBorder="1" applyAlignment="1">
      <alignment horizontal="center" vertical="center" wrapText="1"/>
      <protection/>
    </xf>
    <xf numFmtId="0" fontId="18" fillId="3" borderId="154" xfId="49" applyFont="1" applyFill="1" applyBorder="1" applyAlignment="1">
      <alignment horizontal="center" vertical="center" wrapText="1"/>
      <protection/>
    </xf>
    <xf numFmtId="0" fontId="18" fillId="3" borderId="148" xfId="49" applyFont="1" applyFill="1" applyBorder="1" applyAlignment="1">
      <alignment horizontal="center" vertical="center" wrapText="1"/>
      <protection/>
    </xf>
    <xf numFmtId="0" fontId="18" fillId="3" borderId="123" xfId="49" applyFont="1" applyFill="1" applyBorder="1" applyAlignment="1">
      <alignment horizontal="center" vertical="center" wrapText="1"/>
      <protection/>
    </xf>
    <xf numFmtId="0" fontId="18" fillId="3" borderId="146" xfId="49" applyFont="1" applyFill="1" applyBorder="1" applyAlignment="1">
      <alignment horizontal="center" vertical="center" wrapText="1"/>
      <protection/>
    </xf>
    <xf numFmtId="0" fontId="18" fillId="3" borderId="185" xfId="49" applyFont="1" applyFill="1" applyBorder="1" applyAlignment="1">
      <alignment horizontal="center" vertical="center" wrapText="1"/>
      <protection/>
    </xf>
    <xf numFmtId="164" fontId="18" fillId="7" borderId="128" xfId="80" applyNumberFormat="1" applyFont="1" applyFill="1" applyBorder="1" applyAlignment="1" applyProtection="1">
      <alignment horizontal="center" vertical="center" wrapText="1"/>
      <protection/>
    </xf>
    <xf numFmtId="164" fontId="18" fillId="7" borderId="121" xfId="80" applyNumberFormat="1" applyFont="1" applyFill="1" applyBorder="1" applyAlignment="1" applyProtection="1">
      <alignment horizontal="center" vertical="center" wrapText="1"/>
      <protection/>
    </xf>
    <xf numFmtId="9" fontId="27" fillId="39" borderId="191" xfId="0" applyNumberFormat="1" applyFont="1" applyFill="1" applyBorder="1" applyAlignment="1">
      <alignment horizontal="center" vertical="center" wrapText="1"/>
    </xf>
    <xf numFmtId="9" fontId="27" fillId="39" borderId="175" xfId="0" applyNumberFormat="1" applyFont="1" applyFill="1" applyBorder="1" applyAlignment="1">
      <alignment horizontal="center" vertical="center" wrapText="1"/>
    </xf>
    <xf numFmtId="0" fontId="27" fillId="0" borderId="189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9" fillId="0" borderId="0" xfId="46" applyFont="1" applyBorder="1" applyAlignment="1">
      <alignment horizontal="left" vertical="center" wrapText="1"/>
      <protection/>
    </xf>
    <xf numFmtId="0" fontId="20" fillId="0" borderId="0" xfId="46" applyFont="1" applyBorder="1" applyAlignment="1">
      <alignment horizontal="center" vertical="center"/>
      <protection/>
    </xf>
    <xf numFmtId="0" fontId="41" fillId="0" borderId="0" xfId="0" applyFont="1" applyAlignment="1">
      <alignment horizontal="left" vertical="center"/>
    </xf>
    <xf numFmtId="0" fontId="98" fillId="0" borderId="189" xfId="0" applyFont="1" applyBorder="1" applyAlignment="1">
      <alignment horizontal="left" vertical="center" wrapText="1"/>
    </xf>
    <xf numFmtId="0" fontId="98" fillId="0" borderId="16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102" fillId="0" borderId="90" xfId="0" applyFont="1" applyBorder="1" applyAlignment="1">
      <alignment horizontal="center" vertical="center" wrapText="1"/>
    </xf>
    <xf numFmtId="0" fontId="102" fillId="0" borderId="97" xfId="0" applyFont="1" applyBorder="1" applyAlignment="1">
      <alignment horizontal="center" vertical="center" wrapText="1"/>
    </xf>
    <xf numFmtId="0" fontId="102" fillId="0" borderId="55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0" fontId="102" fillId="0" borderId="165" xfId="0" applyFont="1" applyFill="1" applyBorder="1" applyAlignment="1">
      <alignment horizontal="center" vertical="center" wrapText="1"/>
    </xf>
    <xf numFmtId="0" fontId="102" fillId="0" borderId="191" xfId="0" applyFont="1" applyBorder="1" applyAlignment="1">
      <alignment horizontal="center" vertical="center" wrapText="1"/>
    </xf>
    <xf numFmtId="0" fontId="102" fillId="0" borderId="192" xfId="0" applyFont="1" applyBorder="1" applyAlignment="1">
      <alignment horizontal="center" vertical="center" wrapText="1"/>
    </xf>
    <xf numFmtId="0" fontId="117" fillId="0" borderId="0" xfId="0" applyFont="1" applyAlignment="1">
      <alignment horizontal="left" vertical="center" wrapText="1"/>
    </xf>
    <xf numFmtId="0" fontId="102" fillId="0" borderId="176" xfId="0" applyFont="1" applyBorder="1" applyAlignment="1">
      <alignment horizontal="center" vertical="center" wrapText="1"/>
    </xf>
    <xf numFmtId="0" fontId="102" fillId="0" borderId="197" xfId="0" applyFont="1" applyBorder="1" applyAlignment="1">
      <alignment horizontal="center" vertical="center" wrapText="1"/>
    </xf>
    <xf numFmtId="0" fontId="11" fillId="0" borderId="0" xfId="48" applyFont="1" applyAlignment="1">
      <alignment vertical="center" wrapText="1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2 3" xfId="51"/>
    <cellStyle name="normální 2 3 2" xfId="52"/>
    <cellStyle name="normální 2 3 2 2" xfId="53"/>
    <cellStyle name="normální 2 3 2_PV III. Rozpis rozpočtu VŠ 2011_final_PV" xfId="54"/>
    <cellStyle name="normální 2 3_PV III. Rozpis rozpočtu VŠ 2011_final_PV" xfId="55"/>
    <cellStyle name="normální 2 4" xfId="56"/>
    <cellStyle name="normální 2 4 2" xfId="57"/>
    <cellStyle name="normální 2 4_PV III. Rozpis rozpočtu VŠ 2011_final_PV" xfId="58"/>
    <cellStyle name="normální 2 5" xfId="59"/>
    <cellStyle name="normální 2_PV III. Rozpis rozpočtu VŠ 2011_final_PV" xfId="60"/>
    <cellStyle name="normální 3" xfId="61"/>
    <cellStyle name="normální 3 2" xfId="62"/>
    <cellStyle name="normální 3_PV III. Rozpis rozpočtu VŠ 2011_final_PV" xfId="63"/>
    <cellStyle name="normální 4" xfId="64"/>
    <cellStyle name="normální 4 2" xfId="65"/>
    <cellStyle name="normální 4_PV Rozpis rozpočtu VŠ 2011 III - tabulkové přílohy" xfId="66"/>
    <cellStyle name="Normální 5" xfId="67"/>
    <cellStyle name="normální 5 2" xfId="68"/>
    <cellStyle name="Normální 6" xfId="69"/>
    <cellStyle name="Normální 6 2" xfId="70"/>
    <cellStyle name="normální 6 3" xfId="71"/>
    <cellStyle name="normální 7" xfId="72"/>
    <cellStyle name="Normální 8" xfId="73"/>
    <cellStyle name="Normální 8 2" xfId="74"/>
    <cellStyle name="Normální 9" xfId="75"/>
    <cellStyle name="normální_Tab.1-bilance PV" xfId="76"/>
    <cellStyle name="normální_Tabulka 1-Bilanční-návrh 13.1.04" xfId="77"/>
    <cellStyle name="normální_Ubyt a strav 2002" xfId="78"/>
    <cellStyle name="Poznámka" xfId="79"/>
    <cellStyle name="procent 2" xfId="80"/>
    <cellStyle name="procent 3" xfId="81"/>
    <cellStyle name="procent 4" xfId="82"/>
    <cellStyle name="Percent" xfId="83"/>
    <cellStyle name="Procenta 2" xfId="84"/>
    <cellStyle name="Procenta 3" xfId="85"/>
    <cellStyle name="Propojená buňka" xfId="86"/>
    <cellStyle name="Správně" xfId="87"/>
    <cellStyle name="Text upozornění" xfId="88"/>
    <cellStyle name="Vstup" xfId="89"/>
    <cellStyle name="Výpočet" xfId="90"/>
    <cellStyle name="Výstup" xfId="91"/>
    <cellStyle name="Vysvětlující text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" name="Picture 2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3" name="Picture 3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4" name="Picture 4" descr="https://sims.ics.muni.cz/sims_is/img/bo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95"/>
  <sheetViews>
    <sheetView tabSelected="1" zoomScale="77" zoomScaleNormal="77" zoomScalePageLayoutView="0" workbookViewId="0" topLeftCell="A1">
      <selection activeCell="A1" sqref="A1:N1"/>
    </sheetView>
  </sheetViews>
  <sheetFormatPr defaultColWidth="9.140625" defaultRowHeight="15"/>
  <cols>
    <col min="1" max="2" width="4.8515625" style="2" bestFit="1" customWidth="1"/>
    <col min="3" max="3" width="7.28125" style="2" customWidth="1"/>
    <col min="4" max="4" width="23.28125" style="2" customWidth="1"/>
    <col min="5" max="5" width="13.421875" style="2" customWidth="1"/>
    <col min="6" max="6" width="14.00390625" style="2" customWidth="1"/>
    <col min="7" max="7" width="13.7109375" style="2" customWidth="1"/>
    <col min="8" max="8" width="14.00390625" style="2" customWidth="1"/>
    <col min="9" max="9" width="16.00390625" style="2" customWidth="1"/>
    <col min="10" max="10" width="13.7109375" style="2" customWidth="1"/>
    <col min="11" max="11" width="14.00390625" style="2" customWidth="1"/>
    <col min="12" max="12" width="15.28125" style="25" customWidth="1"/>
    <col min="13" max="13" width="13.57421875" style="2" customWidth="1"/>
    <col min="14" max="14" width="13.8515625" style="4" customWidth="1"/>
    <col min="15" max="15" width="11.421875" style="2" bestFit="1" customWidth="1"/>
    <col min="16" max="16384" width="9.140625" style="2" customWidth="1"/>
  </cols>
  <sheetData>
    <row r="1" spans="1:14" s="1" customFormat="1" ht="50.25" customHeight="1">
      <c r="A1" s="895" t="s">
        <v>400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</row>
    <row r="2" spans="1:14" ht="15">
      <c r="A2" s="804" t="s">
        <v>0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</row>
    <row r="3" spans="1:14" ht="15.75" thickBot="1">
      <c r="A3" s="806"/>
      <c r="B3" s="806"/>
      <c r="C3" s="805"/>
      <c r="D3" s="805"/>
      <c r="E3" s="805"/>
      <c r="F3" s="805"/>
      <c r="G3" s="805"/>
      <c r="H3" s="805"/>
      <c r="I3" s="805"/>
      <c r="J3" s="692"/>
      <c r="K3" s="692"/>
      <c r="L3" s="807"/>
      <c r="M3" s="692"/>
      <c r="N3" s="808"/>
    </row>
    <row r="4" spans="1:14" s="5" customFormat="1" ht="32.25" customHeight="1" thickBot="1">
      <c r="A4" s="896" t="s">
        <v>2</v>
      </c>
      <c r="B4" s="897"/>
      <c r="C4" s="897"/>
      <c r="D4" s="897"/>
      <c r="E4" s="809" t="s">
        <v>3</v>
      </c>
      <c r="F4" s="810" t="s">
        <v>4</v>
      </c>
      <c r="G4" s="811" t="s">
        <v>5</v>
      </c>
      <c r="H4" s="812" t="s">
        <v>6</v>
      </c>
      <c r="I4" s="898" t="s">
        <v>2</v>
      </c>
      <c r="J4" s="899"/>
      <c r="K4" s="813" t="s">
        <v>3</v>
      </c>
      <c r="L4" s="813" t="s">
        <v>4</v>
      </c>
      <c r="M4" s="814" t="s">
        <v>7</v>
      </c>
      <c r="N4" s="815" t="s">
        <v>8</v>
      </c>
    </row>
    <row r="5" spans="1:14" ht="33" customHeight="1">
      <c r="A5" s="900" t="s">
        <v>309</v>
      </c>
      <c r="B5" s="901"/>
      <c r="C5" s="901"/>
      <c r="D5" s="902"/>
      <c r="E5" s="816">
        <v>34770</v>
      </c>
      <c r="F5" s="817">
        <v>33012.209190902606</v>
      </c>
      <c r="G5" s="818">
        <f>'Tab.3_A'!E189</f>
        <v>30546.478380440745</v>
      </c>
      <c r="H5" s="819">
        <f>G5/F5-1</f>
        <v>-0.07469148145169757</v>
      </c>
      <c r="I5" s="903" t="s">
        <v>313</v>
      </c>
      <c r="J5" s="904"/>
      <c r="K5" s="816">
        <v>93380</v>
      </c>
      <c r="L5" s="817">
        <v>89429</v>
      </c>
      <c r="M5" s="817">
        <f>'Tab.6_C'!E37</f>
        <v>83041.32025274361</v>
      </c>
      <c r="N5" s="820">
        <f>M5/L5-1</f>
        <v>-0.07142738649941738</v>
      </c>
    </row>
    <row r="6" spans="1:14" ht="30.75" customHeight="1">
      <c r="A6" s="892" t="s">
        <v>9</v>
      </c>
      <c r="B6" s="893"/>
      <c r="C6" s="893"/>
      <c r="D6" s="894"/>
      <c r="E6" s="821">
        <v>29554</v>
      </c>
      <c r="F6" s="822">
        <v>26428.29909612293</v>
      </c>
      <c r="G6" s="823">
        <f>'Tab.3_A'!N183</f>
        <v>24437.1827043526</v>
      </c>
      <c r="H6" s="824">
        <f>G6/F6-1</f>
        <v>-0.07534031549016451</v>
      </c>
      <c r="I6" s="869" t="s">
        <v>310</v>
      </c>
      <c r="J6" s="870"/>
      <c r="K6" s="825">
        <v>6250</v>
      </c>
      <c r="L6" s="825">
        <v>5800</v>
      </c>
      <c r="M6" s="825">
        <f>'Tab.8_U'!D9</f>
        <v>5367.246073263169</v>
      </c>
      <c r="N6" s="826">
        <f>M6/L6-1</f>
        <v>-0.07461274598910883</v>
      </c>
    </row>
    <row r="7" spans="1:14" ht="33" customHeight="1" thickBot="1">
      <c r="A7" s="867" t="s">
        <v>10</v>
      </c>
      <c r="B7" s="868"/>
      <c r="C7" s="868"/>
      <c r="D7" s="868"/>
      <c r="E7" s="827">
        <v>8690</v>
      </c>
      <c r="F7" s="828">
        <v>15253.994069753577</v>
      </c>
      <c r="G7" s="829" t="s">
        <v>11</v>
      </c>
      <c r="H7" s="830"/>
      <c r="I7" s="869" t="s">
        <v>311</v>
      </c>
      <c r="J7" s="870"/>
      <c r="K7" s="825">
        <v>1620</v>
      </c>
      <c r="L7" s="825">
        <v>1620</v>
      </c>
      <c r="M7" s="825">
        <v>1620</v>
      </c>
      <c r="N7" s="826">
        <f>M7/L7-1</f>
        <v>0</v>
      </c>
    </row>
    <row r="8" spans="1:14" ht="30.75" customHeight="1" thickBot="1">
      <c r="A8" s="890"/>
      <c r="B8" s="890"/>
      <c r="C8" s="890"/>
      <c r="D8" s="890"/>
      <c r="E8" s="890"/>
      <c r="F8" s="890"/>
      <c r="G8" s="890"/>
      <c r="H8" s="891"/>
      <c r="I8" s="871" t="s">
        <v>312</v>
      </c>
      <c r="J8" s="872"/>
      <c r="K8" s="831">
        <v>21.25</v>
      </c>
      <c r="L8" s="831">
        <v>19.3995</v>
      </c>
      <c r="M8" s="831">
        <f>'Tab.7_J'!F34</f>
        <v>17.945548316979806</v>
      </c>
      <c r="N8" s="832">
        <f>M8/L8-1</f>
        <v>-0.07494789468904839</v>
      </c>
    </row>
    <row r="9" spans="1:14" ht="15.75" thickBot="1">
      <c r="A9" s="873"/>
      <c r="B9" s="873"/>
      <c r="C9" s="873"/>
      <c r="D9" s="873"/>
      <c r="E9" s="873"/>
      <c r="F9" s="873"/>
      <c r="G9" s="873"/>
      <c r="H9" s="873"/>
      <c r="I9" s="873"/>
      <c r="J9" s="833"/>
      <c r="K9" s="833"/>
      <c r="L9" s="833"/>
      <c r="M9" s="833"/>
      <c r="N9" s="833"/>
    </row>
    <row r="10" spans="1:14" ht="14.25" customHeight="1">
      <c r="A10" s="874" t="s">
        <v>12</v>
      </c>
      <c r="B10" s="876" t="s">
        <v>13</v>
      </c>
      <c r="C10" s="881" t="s">
        <v>14</v>
      </c>
      <c r="D10" s="882"/>
      <c r="E10" s="882"/>
      <c r="F10" s="882"/>
      <c r="G10" s="883"/>
      <c r="H10" s="878" t="s">
        <v>293</v>
      </c>
      <c r="I10" s="859" t="s">
        <v>294</v>
      </c>
      <c r="J10" s="856" t="s">
        <v>299</v>
      </c>
      <c r="K10" s="856" t="s">
        <v>300</v>
      </c>
      <c r="L10" s="859" t="s">
        <v>296</v>
      </c>
      <c r="M10" s="856" t="s">
        <v>297</v>
      </c>
      <c r="N10" s="862" t="s">
        <v>298</v>
      </c>
    </row>
    <row r="11" spans="1:14" ht="14.25" customHeight="1">
      <c r="A11" s="875"/>
      <c r="B11" s="877"/>
      <c r="C11" s="884"/>
      <c r="D11" s="885"/>
      <c r="E11" s="885"/>
      <c r="F11" s="885"/>
      <c r="G11" s="886"/>
      <c r="H11" s="879"/>
      <c r="I11" s="860"/>
      <c r="J11" s="857"/>
      <c r="K11" s="857"/>
      <c r="L11" s="860"/>
      <c r="M11" s="857"/>
      <c r="N11" s="863"/>
    </row>
    <row r="12" spans="1:14" s="6" customFormat="1" ht="14.25" customHeight="1" thickBot="1">
      <c r="A12" s="875"/>
      <c r="B12" s="877"/>
      <c r="C12" s="887"/>
      <c r="D12" s="888"/>
      <c r="E12" s="888"/>
      <c r="F12" s="888"/>
      <c r="G12" s="889"/>
      <c r="H12" s="880"/>
      <c r="I12" s="861"/>
      <c r="J12" s="858"/>
      <c r="K12" s="858"/>
      <c r="L12" s="861"/>
      <c r="M12" s="858"/>
      <c r="N12" s="864"/>
    </row>
    <row r="13" spans="1:14" s="10" customFormat="1" ht="16.5" thickBot="1">
      <c r="A13" s="7"/>
      <c r="B13" s="8"/>
      <c r="C13" s="865">
        <v>1</v>
      </c>
      <c r="D13" s="866"/>
      <c r="E13" s="866"/>
      <c r="F13" s="866"/>
      <c r="G13" s="866"/>
      <c r="H13" s="9">
        <v>2</v>
      </c>
      <c r="I13" s="9">
        <v>3</v>
      </c>
      <c r="J13" s="333">
        <v>4</v>
      </c>
      <c r="K13" s="333">
        <v>5</v>
      </c>
      <c r="L13" s="9">
        <v>6</v>
      </c>
      <c r="M13" s="333">
        <v>7</v>
      </c>
      <c r="N13" s="334">
        <v>8</v>
      </c>
    </row>
    <row r="14" spans="1:14" ht="14.25">
      <c r="A14" s="689"/>
      <c r="B14" s="690"/>
      <c r="C14" s="691"/>
      <c r="D14" s="692"/>
      <c r="E14" s="692"/>
      <c r="F14" s="692"/>
      <c r="G14" s="692"/>
      <c r="H14" s="693"/>
      <c r="I14" s="693"/>
      <c r="J14" s="694"/>
      <c r="K14" s="694"/>
      <c r="L14" s="693"/>
      <c r="M14" s="694"/>
      <c r="N14" s="834"/>
    </row>
    <row r="15" spans="1:14" ht="15.75" thickBot="1">
      <c r="A15" s="689"/>
      <c r="B15" s="690"/>
      <c r="C15" s="695" t="s">
        <v>394</v>
      </c>
      <c r="D15" s="692"/>
      <c r="E15" s="692"/>
      <c r="F15" s="692"/>
      <c r="G15" s="692"/>
      <c r="H15" s="696"/>
      <c r="I15" s="693"/>
      <c r="J15" s="694"/>
      <c r="K15" s="694"/>
      <c r="L15" s="693"/>
      <c r="M15" s="694"/>
      <c r="N15" s="834"/>
    </row>
    <row r="16" spans="1:14" ht="14.25">
      <c r="A16" s="697" t="s">
        <v>15</v>
      </c>
      <c r="B16" s="698"/>
      <c r="C16" s="854" t="s">
        <v>16</v>
      </c>
      <c r="D16" s="855"/>
      <c r="E16" s="855"/>
      <c r="F16" s="855"/>
      <c r="G16" s="855"/>
      <c r="H16" s="699">
        <v>14782615</v>
      </c>
      <c r="I16" s="699">
        <v>13288205</v>
      </c>
      <c r="J16" s="700">
        <f>I16/$I$58</f>
        <v>0.6423568234204867</v>
      </c>
      <c r="K16" s="700">
        <f>I16/H16-1</f>
        <v>-0.10109239806353609</v>
      </c>
      <c r="L16" s="699">
        <v>12382584</v>
      </c>
      <c r="M16" s="700">
        <f>L16/$L$57</f>
        <v>0.6412931904732212</v>
      </c>
      <c r="N16" s="701">
        <f>L16/I16-1</f>
        <v>-0.06815224479152748</v>
      </c>
    </row>
    <row r="17" spans="1:14" ht="14.25">
      <c r="A17" s="702" t="s">
        <v>15</v>
      </c>
      <c r="B17" s="703"/>
      <c r="C17" s="848" t="s">
        <v>17</v>
      </c>
      <c r="D17" s="849"/>
      <c r="E17" s="849"/>
      <c r="F17" s="849"/>
      <c r="G17" s="849"/>
      <c r="H17" s="704">
        <v>978194</v>
      </c>
      <c r="I17" s="704">
        <v>1655202</v>
      </c>
      <c r="J17" s="705">
        <f>I17/$I$58</f>
        <v>0.08001308670653684</v>
      </c>
      <c r="K17" s="705">
        <f>I17/H17-1</f>
        <v>0.6920999310975124</v>
      </c>
      <c r="L17" s="706" t="s">
        <v>11</v>
      </c>
      <c r="M17" s="707" t="s">
        <v>11</v>
      </c>
      <c r="N17" s="708" t="s">
        <v>11</v>
      </c>
    </row>
    <row r="18" spans="1:14" ht="15" thickBot="1">
      <c r="A18" s="709" t="s">
        <v>15</v>
      </c>
      <c r="B18" s="710"/>
      <c r="C18" s="850" t="s">
        <v>193</v>
      </c>
      <c r="D18" s="851"/>
      <c r="E18" s="851"/>
      <c r="F18" s="851"/>
      <c r="G18" s="851"/>
      <c r="H18" s="711">
        <v>1630532</v>
      </c>
      <c r="I18" s="711">
        <v>1655202</v>
      </c>
      <c r="J18" s="712">
        <f>I18/$I$58</f>
        <v>0.08001308670653684</v>
      </c>
      <c r="K18" s="712">
        <f>I18/H18-1</f>
        <v>0.015130031180007553</v>
      </c>
      <c r="L18" s="711">
        <v>3095646</v>
      </c>
      <c r="M18" s="712">
        <f>L18/$L$57</f>
        <v>0.1603232976183053</v>
      </c>
      <c r="N18" s="713">
        <f>L18/(I18+I17)-1</f>
        <v>-0.0648736528834547</v>
      </c>
    </row>
    <row r="19" spans="1:14" s="11" customFormat="1" ht="15.75" thickBot="1">
      <c r="A19" s="714"/>
      <c r="B19" s="715"/>
      <c r="C19" s="852" t="s">
        <v>18</v>
      </c>
      <c r="D19" s="853"/>
      <c r="E19" s="853"/>
      <c r="F19" s="853"/>
      <c r="G19" s="853"/>
      <c r="H19" s="716">
        <f>SUM(H16:H18)</f>
        <v>17391341</v>
      </c>
      <c r="I19" s="716">
        <f>SUM(I16:I18)</f>
        <v>16598609</v>
      </c>
      <c r="J19" s="717">
        <f>I19/$I$58</f>
        <v>0.8023829968335604</v>
      </c>
      <c r="K19" s="717">
        <f>I19/H19-1</f>
        <v>-0.04558199393594775</v>
      </c>
      <c r="L19" s="716">
        <f>SUM(L16:L18)</f>
        <v>15478230</v>
      </c>
      <c r="M19" s="717">
        <f>L19/$L$57</f>
        <v>0.8016164880915265</v>
      </c>
      <c r="N19" s="718">
        <f aca="true" t="shared" si="0" ref="N19:N60">L19/I19-1</f>
        <v>-0.06749836688122479</v>
      </c>
    </row>
    <row r="20" spans="1:14" ht="14.25">
      <c r="A20" s="689"/>
      <c r="B20" s="690"/>
      <c r="C20" s="691"/>
      <c r="D20" s="692"/>
      <c r="E20" s="692"/>
      <c r="F20" s="692"/>
      <c r="G20" s="692"/>
      <c r="H20" s="719"/>
      <c r="I20" s="719"/>
      <c r="J20" s="835"/>
      <c r="K20" s="835"/>
      <c r="L20" s="719"/>
      <c r="M20" s="835"/>
      <c r="N20" s="836"/>
    </row>
    <row r="21" spans="1:14" ht="15" thickBot="1">
      <c r="A21" s="689"/>
      <c r="B21" s="690"/>
      <c r="C21" s="691" t="s">
        <v>19</v>
      </c>
      <c r="D21" s="692"/>
      <c r="E21" s="692"/>
      <c r="F21" s="692"/>
      <c r="G21" s="692"/>
      <c r="H21" s="720"/>
      <c r="I21" s="719"/>
      <c r="J21" s="721"/>
      <c r="K21" s="721"/>
      <c r="L21" s="719"/>
      <c r="M21" s="721"/>
      <c r="N21" s="837"/>
    </row>
    <row r="22" spans="1:14" ht="14.25">
      <c r="A22" s="697" t="s">
        <v>15</v>
      </c>
      <c r="B22" s="698"/>
      <c r="C22" s="854" t="s">
        <v>20</v>
      </c>
      <c r="D22" s="855"/>
      <c r="E22" s="855"/>
      <c r="F22" s="855"/>
      <c r="G22" s="855"/>
      <c r="H22" s="722">
        <v>1013279</v>
      </c>
      <c r="I22" s="722">
        <v>1054455</v>
      </c>
      <c r="J22" s="723">
        <f aca="true" t="shared" si="1" ref="J22:J28">I22/$I$58</f>
        <v>0.05097275096522437</v>
      </c>
      <c r="K22" s="723">
        <f aca="true" t="shared" si="2" ref="K22:K28">I22/H22-1</f>
        <v>0.040636389385351857</v>
      </c>
      <c r="L22" s="722">
        <v>998821</v>
      </c>
      <c r="M22" s="723">
        <f aca="true" t="shared" si="3" ref="M22:M28">L22/$L$57</f>
        <v>0.0517288722452158</v>
      </c>
      <c r="N22" s="724">
        <f t="shared" si="0"/>
        <v>-0.052760904922448115</v>
      </c>
    </row>
    <row r="23" spans="1:14" ht="14.25">
      <c r="A23" s="702"/>
      <c r="B23" s="725" t="s">
        <v>21</v>
      </c>
      <c r="C23" s="848" t="s">
        <v>22</v>
      </c>
      <c r="D23" s="849"/>
      <c r="E23" s="849"/>
      <c r="F23" s="849"/>
      <c r="G23" s="849"/>
      <c r="H23" s="726">
        <v>217770</v>
      </c>
      <c r="I23" s="726">
        <v>198340</v>
      </c>
      <c r="J23" s="727">
        <f t="shared" si="1"/>
        <v>0.00958783013636675</v>
      </c>
      <c r="K23" s="727">
        <f t="shared" si="2"/>
        <v>-0.08922257427561187</v>
      </c>
      <c r="L23" s="726">
        <v>180629</v>
      </c>
      <c r="M23" s="727">
        <f t="shared" si="3"/>
        <v>0.009354763731220194</v>
      </c>
      <c r="N23" s="728">
        <f t="shared" si="0"/>
        <v>-0.08929615811233238</v>
      </c>
    </row>
    <row r="24" spans="1:14" ht="14.25">
      <c r="A24" s="702" t="s">
        <v>15</v>
      </c>
      <c r="B24" s="725"/>
      <c r="C24" s="848" t="s">
        <v>23</v>
      </c>
      <c r="D24" s="849"/>
      <c r="E24" s="849"/>
      <c r="F24" s="849"/>
      <c r="G24" s="849"/>
      <c r="H24" s="726">
        <v>85909</v>
      </c>
      <c r="I24" s="726">
        <v>57248</v>
      </c>
      <c r="J24" s="727">
        <f t="shared" si="1"/>
        <v>0.002767389833854612</v>
      </c>
      <c r="K24" s="727">
        <f t="shared" si="2"/>
        <v>-0.33362045885762837</v>
      </c>
      <c r="L24" s="726">
        <v>51000</v>
      </c>
      <c r="M24" s="727">
        <f t="shared" si="3"/>
        <v>0.0026412865613618516</v>
      </c>
      <c r="N24" s="728">
        <f t="shared" si="0"/>
        <v>-0.10913918390162103</v>
      </c>
    </row>
    <row r="25" spans="1:14" ht="14.25">
      <c r="A25" s="702"/>
      <c r="B25" s="725" t="s">
        <v>21</v>
      </c>
      <c r="C25" s="848" t="s">
        <v>24</v>
      </c>
      <c r="D25" s="849"/>
      <c r="E25" s="849"/>
      <c r="F25" s="849"/>
      <c r="G25" s="849"/>
      <c r="H25" s="726">
        <v>4172</v>
      </c>
      <c r="I25" s="726">
        <f>3500-245</f>
        <v>3255</v>
      </c>
      <c r="J25" s="727">
        <f t="shared" si="1"/>
        <v>0.00015734792323219608</v>
      </c>
      <c r="K25" s="727">
        <f t="shared" si="2"/>
        <v>-0.2197986577181208</v>
      </c>
      <c r="L25" s="726">
        <v>3038</v>
      </c>
      <c r="M25" s="727">
        <f t="shared" si="3"/>
        <v>0.00015733781516504518</v>
      </c>
      <c r="N25" s="728">
        <f t="shared" si="0"/>
        <v>-0.06666666666666665</v>
      </c>
    </row>
    <row r="26" spans="1:14" ht="14.25">
      <c r="A26" s="702" t="s">
        <v>15</v>
      </c>
      <c r="B26" s="725"/>
      <c r="C26" s="848" t="s">
        <v>25</v>
      </c>
      <c r="D26" s="849"/>
      <c r="E26" s="849"/>
      <c r="F26" s="849"/>
      <c r="G26" s="849"/>
      <c r="H26" s="726">
        <v>960361</v>
      </c>
      <c r="I26" s="726">
        <v>903679</v>
      </c>
      <c r="J26" s="727">
        <f t="shared" si="1"/>
        <v>0.04368418246345552</v>
      </c>
      <c r="K26" s="727">
        <f t="shared" si="2"/>
        <v>-0.05902155543592458</v>
      </c>
      <c r="L26" s="726">
        <v>835310</v>
      </c>
      <c r="M26" s="727">
        <f t="shared" si="3"/>
        <v>0.043260648579826824</v>
      </c>
      <c r="N26" s="728">
        <f t="shared" si="0"/>
        <v>-0.07565628945676506</v>
      </c>
    </row>
    <row r="27" spans="1:14" ht="15" thickBot="1">
      <c r="A27" s="709"/>
      <c r="B27" s="729" t="s">
        <v>21</v>
      </c>
      <c r="C27" s="850" t="s">
        <v>26</v>
      </c>
      <c r="D27" s="851"/>
      <c r="E27" s="851"/>
      <c r="F27" s="851"/>
      <c r="G27" s="851"/>
      <c r="H27" s="730">
        <v>50146</v>
      </c>
      <c r="I27" s="730">
        <v>66622</v>
      </c>
      <c r="J27" s="731">
        <f t="shared" si="1"/>
        <v>0.003220532516613016</v>
      </c>
      <c r="K27" s="731">
        <f t="shared" si="2"/>
        <v>0.3285606030391257</v>
      </c>
      <c r="L27" s="730">
        <v>57282</v>
      </c>
      <c r="M27" s="731">
        <f t="shared" si="3"/>
        <v>0.0029666309178025406</v>
      </c>
      <c r="N27" s="732">
        <f t="shared" si="0"/>
        <v>-0.14019392993305513</v>
      </c>
    </row>
    <row r="28" spans="1:14" s="11" customFormat="1" ht="15.75" thickBot="1">
      <c r="A28" s="714"/>
      <c r="B28" s="715"/>
      <c r="C28" s="852" t="s">
        <v>27</v>
      </c>
      <c r="D28" s="853"/>
      <c r="E28" s="853"/>
      <c r="F28" s="853"/>
      <c r="G28" s="853"/>
      <c r="H28" s="716">
        <f>H22+H24+H25+H26+H27+H23</f>
        <v>2331637</v>
      </c>
      <c r="I28" s="716">
        <f>SUM(I22:I27)</f>
        <v>2283599</v>
      </c>
      <c r="J28" s="717">
        <f t="shared" si="1"/>
        <v>0.11039003383874646</v>
      </c>
      <c r="K28" s="717">
        <f t="shared" si="2"/>
        <v>-0.020602692443120407</v>
      </c>
      <c r="L28" s="716">
        <f>SUM(L22:L27)</f>
        <v>2126080</v>
      </c>
      <c r="M28" s="717">
        <f t="shared" si="3"/>
        <v>0.11010953985059226</v>
      </c>
      <c r="N28" s="718">
        <f t="shared" si="0"/>
        <v>-0.06897839769591774</v>
      </c>
    </row>
    <row r="29" spans="1:14" ht="14.25">
      <c r="A29" s="689"/>
      <c r="B29" s="690"/>
      <c r="C29" s="691"/>
      <c r="D29" s="692"/>
      <c r="E29" s="692"/>
      <c r="F29" s="692"/>
      <c r="G29" s="692"/>
      <c r="H29" s="720"/>
      <c r="I29" s="719"/>
      <c r="J29" s="835"/>
      <c r="K29" s="835"/>
      <c r="L29" s="719"/>
      <c r="M29" s="835"/>
      <c r="N29" s="837"/>
    </row>
    <row r="30" spans="1:14" ht="15.75" thickBot="1">
      <c r="A30" s="689"/>
      <c r="B30" s="690"/>
      <c r="C30" s="695" t="s">
        <v>28</v>
      </c>
      <c r="D30" s="692"/>
      <c r="E30" s="692"/>
      <c r="F30" s="692"/>
      <c r="G30" s="692"/>
      <c r="H30" s="719"/>
      <c r="I30" s="719"/>
      <c r="J30" s="721"/>
      <c r="K30" s="721"/>
      <c r="L30" s="719"/>
      <c r="M30" s="721"/>
      <c r="N30" s="837"/>
    </row>
    <row r="31" spans="1:14" s="3" customFormat="1" ht="14.25">
      <c r="A31" s="697"/>
      <c r="B31" s="698" t="s">
        <v>21</v>
      </c>
      <c r="C31" s="854" t="s">
        <v>29</v>
      </c>
      <c r="D31" s="855"/>
      <c r="E31" s="855"/>
      <c r="F31" s="855"/>
      <c r="G31" s="855"/>
      <c r="H31" s="722">
        <v>334000</v>
      </c>
      <c r="I31" s="722">
        <v>319638</v>
      </c>
      <c r="J31" s="723">
        <f>I31/$I$58</f>
        <v>0.015451421040274253</v>
      </c>
      <c r="K31" s="723">
        <f>I31/H31-1</f>
        <v>-0.04300000000000004</v>
      </c>
      <c r="L31" s="722">
        <v>287548</v>
      </c>
      <c r="M31" s="723">
        <f>L31/$L$57</f>
        <v>0.014892091532283876</v>
      </c>
      <c r="N31" s="733">
        <f t="shared" si="0"/>
        <v>-0.10039482164198255</v>
      </c>
    </row>
    <row r="32" spans="1:14" ht="15" thickBot="1">
      <c r="A32" s="709"/>
      <c r="B32" s="729" t="s">
        <v>21</v>
      </c>
      <c r="C32" s="850" t="s">
        <v>30</v>
      </c>
      <c r="D32" s="851"/>
      <c r="E32" s="851"/>
      <c r="F32" s="851"/>
      <c r="G32" s="851"/>
      <c r="H32" s="730">
        <v>1131885</v>
      </c>
      <c r="I32" s="730">
        <v>1083213</v>
      </c>
      <c r="J32" s="731">
        <f>I32/$I$58</f>
        <v>0.052362923492509005</v>
      </c>
      <c r="K32" s="731">
        <f>I32/H32-1</f>
        <v>-0.04300083489047035</v>
      </c>
      <c r="L32" s="730">
        <v>974734</v>
      </c>
      <c r="M32" s="731">
        <f>L32/$L$57</f>
        <v>0.05048140813926437</v>
      </c>
      <c r="N32" s="713">
        <f t="shared" si="0"/>
        <v>-0.10014558540194773</v>
      </c>
    </row>
    <row r="33" spans="1:14" s="11" customFormat="1" ht="15.75" thickBot="1">
      <c r="A33" s="714"/>
      <c r="B33" s="715"/>
      <c r="C33" s="842" t="s">
        <v>31</v>
      </c>
      <c r="D33" s="843"/>
      <c r="E33" s="843"/>
      <c r="F33" s="843"/>
      <c r="G33" s="843"/>
      <c r="H33" s="716">
        <f>H31+H32</f>
        <v>1465885</v>
      </c>
      <c r="I33" s="716">
        <f>SUM(I31:I32)</f>
        <v>1402851</v>
      </c>
      <c r="J33" s="717">
        <f>I33/$I$58</f>
        <v>0.06781434453278326</v>
      </c>
      <c r="K33" s="717">
        <f>I33/H33-1</f>
        <v>-0.04300064466175724</v>
      </c>
      <c r="L33" s="716">
        <f>SUM(L31:L32)</f>
        <v>1262282</v>
      </c>
      <c r="M33" s="717">
        <f>L33/$L$57</f>
        <v>0.06537349967154825</v>
      </c>
      <c r="N33" s="718">
        <f t="shared" si="0"/>
        <v>-0.1002023735949149</v>
      </c>
    </row>
    <row r="34" spans="1:14" ht="14.25">
      <c r="A34" s="689"/>
      <c r="B34" s="690"/>
      <c r="C34" s="691"/>
      <c r="D34" s="692"/>
      <c r="E34" s="692"/>
      <c r="F34" s="692"/>
      <c r="G34" s="692"/>
      <c r="H34" s="719"/>
      <c r="I34" s="719"/>
      <c r="J34" s="835"/>
      <c r="K34" s="835"/>
      <c r="L34" s="719"/>
      <c r="M34" s="835"/>
      <c r="N34" s="837"/>
    </row>
    <row r="35" spans="1:14" ht="15.75" thickBot="1">
      <c r="A35" s="734"/>
      <c r="B35" s="735"/>
      <c r="C35" s="695" t="s">
        <v>32</v>
      </c>
      <c r="D35" s="692"/>
      <c r="E35" s="692"/>
      <c r="F35" s="692"/>
      <c r="G35" s="692"/>
      <c r="H35" s="719"/>
      <c r="I35" s="719"/>
      <c r="J35" s="721"/>
      <c r="K35" s="721"/>
      <c r="L35" s="719"/>
      <c r="M35" s="721"/>
      <c r="N35" s="837"/>
    </row>
    <row r="36" spans="1:14" ht="15" thickBot="1">
      <c r="A36" s="736"/>
      <c r="B36" s="737"/>
      <c r="C36" s="738" t="s">
        <v>33</v>
      </c>
      <c r="D36" s="739"/>
      <c r="E36" s="739"/>
      <c r="F36" s="739"/>
      <c r="G36" s="739"/>
      <c r="H36" s="740">
        <f>SUM(H37:H43)</f>
        <v>311379</v>
      </c>
      <c r="I36" s="740">
        <f>SUM(I37:I43)</f>
        <v>310082</v>
      </c>
      <c r="J36" s="741">
        <f aca="true" t="shared" si="4" ref="J36:J45">I36/$I$58</f>
        <v>0.014989480409120069</v>
      </c>
      <c r="K36" s="741">
        <f aca="true" t="shared" si="5" ref="K36:K42">I36/H36-1</f>
        <v>-0.0041653419145157855</v>
      </c>
      <c r="L36" s="740">
        <f>SUM(L37:L43)</f>
        <v>292180</v>
      </c>
      <c r="M36" s="741">
        <f aca="true" t="shared" si="6" ref="M36:M58">L36/$L$57</f>
        <v>0.015131982499974623</v>
      </c>
      <c r="N36" s="742">
        <f t="shared" si="0"/>
        <v>-0.05773311575647733</v>
      </c>
    </row>
    <row r="37" spans="1:14" s="3" customFormat="1" ht="14.25">
      <c r="A37" s="702"/>
      <c r="B37" s="685" t="s">
        <v>21</v>
      </c>
      <c r="C37" s="690" t="s">
        <v>34</v>
      </c>
      <c r="D37" s="683" t="s">
        <v>35</v>
      </c>
      <c r="E37" s="684"/>
      <c r="F37" s="684"/>
      <c r="G37" s="684"/>
      <c r="H37" s="743">
        <v>5000</v>
      </c>
      <c r="I37" s="743">
        <v>4500</v>
      </c>
      <c r="J37" s="723">
        <f t="shared" si="4"/>
        <v>0.00021753169110441854</v>
      </c>
      <c r="K37" s="723">
        <f t="shared" si="5"/>
        <v>-0.09999999999999998</v>
      </c>
      <c r="L37" s="743">
        <v>4500</v>
      </c>
      <c r="M37" s="723">
        <f t="shared" si="6"/>
        <v>0.00023305469659075162</v>
      </c>
      <c r="N37" s="744">
        <f t="shared" si="0"/>
        <v>0</v>
      </c>
    </row>
    <row r="38" spans="1:14" s="3" customFormat="1" ht="14.25">
      <c r="A38" s="702"/>
      <c r="B38" s="685" t="s">
        <v>21</v>
      </c>
      <c r="C38" s="745"/>
      <c r="D38" s="685" t="s">
        <v>36</v>
      </c>
      <c r="E38" s="686"/>
      <c r="F38" s="686"/>
      <c r="G38" s="686"/>
      <c r="H38" s="726">
        <v>10000</v>
      </c>
      <c r="I38" s="726">
        <v>10000</v>
      </c>
      <c r="J38" s="727">
        <f t="shared" si="4"/>
        <v>0.000483403758009819</v>
      </c>
      <c r="K38" s="727">
        <f t="shared" si="5"/>
        <v>0</v>
      </c>
      <c r="L38" s="746">
        <v>10000</v>
      </c>
      <c r="M38" s="727">
        <f t="shared" si="6"/>
        <v>0.0005178993257572258</v>
      </c>
      <c r="N38" s="747">
        <f t="shared" si="0"/>
        <v>0</v>
      </c>
    </row>
    <row r="39" spans="1:14" s="3" customFormat="1" ht="14.25">
      <c r="A39" s="702"/>
      <c r="B39" s="685" t="s">
        <v>21</v>
      </c>
      <c r="C39" s="745"/>
      <c r="D39" s="685" t="s">
        <v>37</v>
      </c>
      <c r="E39" s="686"/>
      <c r="F39" s="686"/>
      <c r="G39" s="686"/>
      <c r="H39" s="726">
        <v>272797</v>
      </c>
      <c r="I39" s="726">
        <v>272000</v>
      </c>
      <c r="J39" s="727">
        <f t="shared" si="4"/>
        <v>0.013148582217867077</v>
      </c>
      <c r="K39" s="727">
        <f t="shared" si="5"/>
        <v>-0.0029215863810818643</v>
      </c>
      <c r="L39" s="746">
        <v>253883</v>
      </c>
      <c r="M39" s="727">
        <f t="shared" si="6"/>
        <v>0.013148583452122175</v>
      </c>
      <c r="N39" s="747">
        <f t="shared" si="0"/>
        <v>-0.06660661764705877</v>
      </c>
    </row>
    <row r="40" spans="1:14" s="3" customFormat="1" ht="14.25">
      <c r="A40" s="748" t="s">
        <v>15</v>
      </c>
      <c r="B40" s="685"/>
      <c r="C40" s="745"/>
      <c r="D40" s="685" t="s">
        <v>38</v>
      </c>
      <c r="E40" s="686"/>
      <c r="F40" s="686"/>
      <c r="G40" s="686"/>
      <c r="H40" s="726">
        <v>9182</v>
      </c>
      <c r="I40" s="726">
        <v>9182</v>
      </c>
      <c r="J40" s="727">
        <f t="shared" si="4"/>
        <v>0.0004438613306046158</v>
      </c>
      <c r="K40" s="727">
        <f t="shared" si="5"/>
        <v>0</v>
      </c>
      <c r="L40" s="726">
        <v>9397</v>
      </c>
      <c r="M40" s="727">
        <f t="shared" si="6"/>
        <v>0.0004866699964140651</v>
      </c>
      <c r="N40" s="747">
        <f t="shared" si="0"/>
        <v>0.02341537791330861</v>
      </c>
    </row>
    <row r="41" spans="1:14" s="3" customFormat="1" ht="14.25">
      <c r="A41" s="702" t="s">
        <v>15</v>
      </c>
      <c r="B41" s="685" t="s">
        <v>21</v>
      </c>
      <c r="C41" s="745"/>
      <c r="D41" s="685" t="s">
        <v>398</v>
      </c>
      <c r="E41" s="686"/>
      <c r="F41" s="686"/>
      <c r="G41" s="686"/>
      <c r="H41" s="726">
        <v>13500</v>
      </c>
      <c r="I41" s="726">
        <v>13500</v>
      </c>
      <c r="J41" s="727">
        <f t="shared" si="4"/>
        <v>0.0006525950733132556</v>
      </c>
      <c r="K41" s="727">
        <f t="shared" si="5"/>
        <v>0</v>
      </c>
      <c r="L41" s="726">
        <v>13500</v>
      </c>
      <c r="M41" s="727">
        <f t="shared" si="6"/>
        <v>0.0006991640897722548</v>
      </c>
      <c r="N41" s="747">
        <f t="shared" si="0"/>
        <v>0</v>
      </c>
    </row>
    <row r="42" spans="1:14" s="3" customFormat="1" ht="14.25">
      <c r="A42" s="702"/>
      <c r="B42" s="685" t="s">
        <v>21</v>
      </c>
      <c r="C42" s="749"/>
      <c r="D42" s="685" t="s">
        <v>399</v>
      </c>
      <c r="E42" s="686"/>
      <c r="F42" s="686"/>
      <c r="G42" s="686"/>
      <c r="H42" s="726">
        <v>900</v>
      </c>
      <c r="I42" s="726">
        <v>900</v>
      </c>
      <c r="J42" s="727">
        <f t="shared" si="4"/>
        <v>4.350633822088371E-05</v>
      </c>
      <c r="K42" s="727">
        <f t="shared" si="5"/>
        <v>0</v>
      </c>
      <c r="L42" s="726">
        <v>900</v>
      </c>
      <c r="M42" s="727">
        <f t="shared" si="6"/>
        <v>4.661093931815032E-05</v>
      </c>
      <c r="N42" s="747">
        <f t="shared" si="0"/>
        <v>0</v>
      </c>
    </row>
    <row r="43" spans="1:14" s="3" customFormat="1" ht="15" thickBot="1">
      <c r="A43" s="750"/>
      <c r="B43" s="751" t="s">
        <v>21</v>
      </c>
      <c r="C43" s="749"/>
      <c r="D43" s="687" t="s">
        <v>39</v>
      </c>
      <c r="E43" s="688"/>
      <c r="F43" s="688"/>
      <c r="G43" s="688"/>
      <c r="H43" s="752">
        <v>0</v>
      </c>
      <c r="I43" s="752">
        <v>0</v>
      </c>
      <c r="J43" s="753">
        <f t="shared" si="4"/>
        <v>0</v>
      </c>
      <c r="K43" s="753"/>
      <c r="L43" s="752">
        <v>0</v>
      </c>
      <c r="M43" s="753">
        <f t="shared" si="6"/>
        <v>0</v>
      </c>
      <c r="N43" s="754"/>
    </row>
    <row r="44" spans="1:14" ht="15" thickBot="1">
      <c r="A44" s="755"/>
      <c r="B44" s="756"/>
      <c r="C44" s="738" t="s">
        <v>40</v>
      </c>
      <c r="D44" s="739"/>
      <c r="E44" s="739"/>
      <c r="F44" s="739"/>
      <c r="G44" s="739"/>
      <c r="H44" s="757">
        <f>SUM(H45:H54)</f>
        <v>100000</v>
      </c>
      <c r="I44" s="757">
        <f>SUM(I45:I54)</f>
        <v>81500</v>
      </c>
      <c r="J44" s="741">
        <f t="shared" si="4"/>
        <v>0.003939740627780025</v>
      </c>
      <c r="K44" s="741">
        <f>I44/H44-1</f>
        <v>-0.18500000000000005</v>
      </c>
      <c r="L44" s="757">
        <f>SUM(L45:L54)</f>
        <v>150000</v>
      </c>
      <c r="M44" s="741">
        <f t="shared" si="6"/>
        <v>0.007768489886358387</v>
      </c>
      <c r="N44" s="742">
        <f t="shared" si="0"/>
        <v>0.8404907975460123</v>
      </c>
    </row>
    <row r="45" spans="1:14" s="3" customFormat="1" ht="14.25">
      <c r="A45" s="697" t="s">
        <v>15</v>
      </c>
      <c r="B45" s="683" t="s">
        <v>21</v>
      </c>
      <c r="C45" s="758" t="s">
        <v>34</v>
      </c>
      <c r="D45" s="683" t="s">
        <v>41</v>
      </c>
      <c r="E45" s="759"/>
      <c r="F45" s="759"/>
      <c r="G45" s="759"/>
      <c r="H45" s="722">
        <v>35000</v>
      </c>
      <c r="I45" s="722">
        <v>25000</v>
      </c>
      <c r="J45" s="723">
        <f t="shared" si="4"/>
        <v>0.0012085093950245475</v>
      </c>
      <c r="K45" s="723">
        <f>I45/H45-1</f>
        <v>-0.2857142857142857</v>
      </c>
      <c r="L45" s="722">
        <v>0</v>
      </c>
      <c r="M45" s="723">
        <f t="shared" si="6"/>
        <v>0</v>
      </c>
      <c r="N45" s="733">
        <f t="shared" si="0"/>
        <v>-1</v>
      </c>
    </row>
    <row r="46" spans="1:14" s="3" customFormat="1" ht="14.25">
      <c r="A46" s="760"/>
      <c r="B46" s="761"/>
      <c r="C46" s="762"/>
      <c r="D46" s="761" t="s">
        <v>307</v>
      </c>
      <c r="E46" s="735"/>
      <c r="F46" s="735"/>
      <c r="G46" s="735"/>
      <c r="H46" s="743"/>
      <c r="I46" s="743"/>
      <c r="J46" s="763"/>
      <c r="K46" s="763"/>
      <c r="L46" s="743">
        <v>40000</v>
      </c>
      <c r="M46" s="763">
        <f t="shared" si="6"/>
        <v>0.0020715973030289033</v>
      </c>
      <c r="N46" s="744"/>
    </row>
    <row r="47" spans="1:14" s="3" customFormat="1" ht="14.25">
      <c r="A47" s="702"/>
      <c r="B47" s="685" t="s">
        <v>21</v>
      </c>
      <c r="C47" s="745"/>
      <c r="D47" s="685" t="s">
        <v>42</v>
      </c>
      <c r="E47" s="686"/>
      <c r="F47" s="686"/>
      <c r="G47" s="686"/>
      <c r="H47" s="743">
        <v>15000</v>
      </c>
      <c r="I47" s="726">
        <v>10000</v>
      </c>
      <c r="J47" s="727">
        <f aca="true" t="shared" si="7" ref="J47:J56">I47/$I$58</f>
        <v>0.000483403758009819</v>
      </c>
      <c r="K47" s="727">
        <f>I47/H47-1</f>
        <v>-0.33333333333333337</v>
      </c>
      <c r="L47" s="726">
        <v>10000</v>
      </c>
      <c r="M47" s="727">
        <f t="shared" si="6"/>
        <v>0.0005178993257572258</v>
      </c>
      <c r="N47" s="747">
        <f t="shared" si="0"/>
        <v>0</v>
      </c>
    </row>
    <row r="48" spans="1:14" s="3" customFormat="1" ht="14.25">
      <c r="A48" s="702"/>
      <c r="B48" s="685"/>
      <c r="C48" s="745"/>
      <c r="D48" s="685" t="s">
        <v>43</v>
      </c>
      <c r="E48" s="686"/>
      <c r="F48" s="686"/>
      <c r="G48" s="686"/>
      <c r="H48" s="743">
        <v>15000</v>
      </c>
      <c r="I48" s="726">
        <v>26000</v>
      </c>
      <c r="J48" s="727">
        <f t="shared" si="7"/>
        <v>0.0012568497708255295</v>
      </c>
      <c r="K48" s="727">
        <f>I48/H48-1</f>
        <v>0.7333333333333334</v>
      </c>
      <c r="L48" s="726">
        <v>26000</v>
      </c>
      <c r="M48" s="727">
        <f t="shared" si="6"/>
        <v>0.001346538246968787</v>
      </c>
      <c r="N48" s="747">
        <f t="shared" si="0"/>
        <v>0</v>
      </c>
    </row>
    <row r="49" spans="1:14" s="3" customFormat="1" ht="14.25">
      <c r="A49" s="702" t="s">
        <v>15</v>
      </c>
      <c r="B49" s="685"/>
      <c r="C49" s="745"/>
      <c r="D49" s="685" t="s">
        <v>44</v>
      </c>
      <c r="E49" s="686"/>
      <c r="F49" s="686"/>
      <c r="G49" s="686"/>
      <c r="H49" s="726">
        <v>2000</v>
      </c>
      <c r="I49" s="726">
        <v>2000</v>
      </c>
      <c r="J49" s="727">
        <f t="shared" si="7"/>
        <v>9.66807516019638E-05</v>
      </c>
      <c r="K49" s="727">
        <f>I49/H49-1</f>
        <v>0</v>
      </c>
      <c r="L49" s="726">
        <v>0</v>
      </c>
      <c r="M49" s="727">
        <f t="shared" si="6"/>
        <v>0</v>
      </c>
      <c r="N49" s="747">
        <f t="shared" si="0"/>
        <v>-1</v>
      </c>
    </row>
    <row r="50" spans="1:14" s="3" customFormat="1" ht="14.25">
      <c r="A50" s="702"/>
      <c r="B50" s="685" t="s">
        <v>21</v>
      </c>
      <c r="C50" s="745"/>
      <c r="D50" s="685" t="s">
        <v>45</v>
      </c>
      <c r="E50" s="686"/>
      <c r="F50" s="686"/>
      <c r="G50" s="686"/>
      <c r="H50" s="743">
        <v>0</v>
      </c>
      <c r="I50" s="726">
        <v>0</v>
      </c>
      <c r="J50" s="727">
        <f t="shared" si="7"/>
        <v>0</v>
      </c>
      <c r="K50" s="727"/>
      <c r="L50" s="726">
        <v>0</v>
      </c>
      <c r="M50" s="727">
        <f t="shared" si="6"/>
        <v>0</v>
      </c>
      <c r="N50" s="747"/>
    </row>
    <row r="51" spans="1:14" s="3" customFormat="1" ht="14.25">
      <c r="A51" s="702" t="s">
        <v>15</v>
      </c>
      <c r="B51" s="685" t="s">
        <v>21</v>
      </c>
      <c r="C51" s="745"/>
      <c r="D51" s="685" t="s">
        <v>46</v>
      </c>
      <c r="E51" s="686"/>
      <c r="F51" s="686"/>
      <c r="G51" s="686"/>
      <c r="H51" s="743">
        <v>5000</v>
      </c>
      <c r="I51" s="726">
        <v>3500</v>
      </c>
      <c r="J51" s="727">
        <f t="shared" si="7"/>
        <v>0.00016919131530343664</v>
      </c>
      <c r="K51" s="727">
        <f>I51/H51-1</f>
        <v>-0.30000000000000004</v>
      </c>
      <c r="L51" s="726">
        <v>19000</v>
      </c>
      <c r="M51" s="727">
        <f t="shared" si="6"/>
        <v>0.000984008718938729</v>
      </c>
      <c r="N51" s="747"/>
    </row>
    <row r="52" spans="1:14" s="3" customFormat="1" ht="14.25">
      <c r="A52" s="702" t="s">
        <v>15</v>
      </c>
      <c r="B52" s="685"/>
      <c r="C52" s="745"/>
      <c r="D52" s="685" t="s">
        <v>47</v>
      </c>
      <c r="E52" s="686"/>
      <c r="F52" s="686"/>
      <c r="G52" s="686"/>
      <c r="H52" s="743">
        <v>0</v>
      </c>
      <c r="I52" s="726">
        <v>0</v>
      </c>
      <c r="J52" s="727">
        <f t="shared" si="7"/>
        <v>0</v>
      </c>
      <c r="K52" s="727"/>
      <c r="L52" s="726">
        <v>40000</v>
      </c>
      <c r="M52" s="727">
        <f t="shared" si="6"/>
        <v>0.0020715973030289033</v>
      </c>
      <c r="N52" s="747"/>
    </row>
    <row r="53" spans="1:14" s="3" customFormat="1" ht="14.25">
      <c r="A53" s="702" t="s">
        <v>15</v>
      </c>
      <c r="B53" s="685" t="s">
        <v>21</v>
      </c>
      <c r="C53" s="745"/>
      <c r="D53" s="685" t="s">
        <v>48</v>
      </c>
      <c r="E53" s="686"/>
      <c r="F53" s="686"/>
      <c r="G53" s="686"/>
      <c r="H53" s="743">
        <v>13000</v>
      </c>
      <c r="I53" s="726">
        <v>0</v>
      </c>
      <c r="J53" s="727">
        <f t="shared" si="7"/>
        <v>0</v>
      </c>
      <c r="K53" s="727">
        <f>I53/H53-1</f>
        <v>-1</v>
      </c>
      <c r="L53" s="726">
        <v>0</v>
      </c>
      <c r="M53" s="727">
        <f t="shared" si="6"/>
        <v>0</v>
      </c>
      <c r="N53" s="747"/>
    </row>
    <row r="54" spans="1:14" s="3" customFormat="1" ht="15" thickBot="1">
      <c r="A54" s="709" t="s">
        <v>15</v>
      </c>
      <c r="B54" s="687" t="s">
        <v>21</v>
      </c>
      <c r="C54" s="764"/>
      <c r="D54" s="687" t="s">
        <v>49</v>
      </c>
      <c r="E54" s="765"/>
      <c r="F54" s="765"/>
      <c r="G54" s="765"/>
      <c r="H54" s="766">
        <v>15000</v>
      </c>
      <c r="I54" s="730">
        <v>15000</v>
      </c>
      <c r="J54" s="731">
        <f t="shared" si="7"/>
        <v>0.0007251056370147285</v>
      </c>
      <c r="K54" s="731">
        <f>I54/H54-1</f>
        <v>0</v>
      </c>
      <c r="L54" s="730">
        <v>15000</v>
      </c>
      <c r="M54" s="731">
        <f t="shared" si="6"/>
        <v>0.0007768489886358387</v>
      </c>
      <c r="N54" s="713">
        <f t="shared" si="0"/>
        <v>0</v>
      </c>
    </row>
    <row r="55" spans="1:14" ht="15" thickBot="1">
      <c r="A55" s="736" t="s">
        <v>15</v>
      </c>
      <c r="B55" s="737" t="s">
        <v>21</v>
      </c>
      <c r="C55" s="767" t="s">
        <v>50</v>
      </c>
      <c r="D55" s="768"/>
      <c r="E55" s="768"/>
      <c r="F55" s="768"/>
      <c r="G55" s="768"/>
      <c r="H55" s="769">
        <v>15000</v>
      </c>
      <c r="I55" s="770">
        <v>10000</v>
      </c>
      <c r="J55" s="741">
        <f t="shared" si="7"/>
        <v>0.000483403758009819</v>
      </c>
      <c r="K55" s="741">
        <f>I55/H55-1</f>
        <v>-0.33333333333333337</v>
      </c>
      <c r="L55" s="770">
        <v>0</v>
      </c>
      <c r="M55" s="741">
        <f t="shared" si="6"/>
        <v>0</v>
      </c>
      <c r="N55" s="742">
        <f t="shared" si="0"/>
        <v>-1</v>
      </c>
    </row>
    <row r="56" spans="1:14" s="11" customFormat="1" ht="15.75" thickBot="1">
      <c r="A56" s="771"/>
      <c r="B56" s="772"/>
      <c r="C56" s="773" t="s">
        <v>51</v>
      </c>
      <c r="D56" s="774"/>
      <c r="E56" s="774"/>
      <c r="F56" s="774"/>
      <c r="G56" s="774"/>
      <c r="H56" s="775">
        <f>H36+H44+H55</f>
        <v>426379</v>
      </c>
      <c r="I56" s="775">
        <f>I36+I44+I55</f>
        <v>401582</v>
      </c>
      <c r="J56" s="776">
        <f t="shared" si="7"/>
        <v>0.019412624794909912</v>
      </c>
      <c r="K56" s="776">
        <f>I56/H56-1</f>
        <v>-0.05815717941080589</v>
      </c>
      <c r="L56" s="775">
        <f>L36+L44+L55</f>
        <v>442180</v>
      </c>
      <c r="M56" s="776">
        <f t="shared" si="6"/>
        <v>0.02290047238633301</v>
      </c>
      <c r="N56" s="777">
        <f t="shared" si="0"/>
        <v>0.1010951686081547</v>
      </c>
    </row>
    <row r="57" spans="1:14" s="12" customFormat="1" ht="21" thickBot="1">
      <c r="A57" s="689"/>
      <c r="B57" s="690"/>
      <c r="C57" s="692"/>
      <c r="D57" s="692"/>
      <c r="E57" s="692"/>
      <c r="F57" s="692"/>
      <c r="G57" s="692"/>
      <c r="H57" s="778"/>
      <c r="I57" s="838"/>
      <c r="J57" s="721"/>
      <c r="K57" s="721"/>
      <c r="L57" s="840">
        <f>L60-L59</f>
        <v>19308772</v>
      </c>
      <c r="M57" s="841">
        <f t="shared" si="6"/>
        <v>1</v>
      </c>
      <c r="N57" s="839"/>
    </row>
    <row r="58" spans="1:14" s="13" customFormat="1" ht="22.5">
      <c r="A58" s="779"/>
      <c r="B58" s="780"/>
      <c r="C58" s="781" t="s">
        <v>52</v>
      </c>
      <c r="D58" s="782"/>
      <c r="E58" s="782"/>
      <c r="F58" s="782"/>
      <c r="G58" s="783"/>
      <c r="H58" s="784">
        <f>H19+H28+H33+H56</f>
        <v>21615242</v>
      </c>
      <c r="I58" s="784">
        <f>I19+I28+I33+I56</f>
        <v>20686641</v>
      </c>
      <c r="J58" s="785">
        <f>I58/$I$58</f>
        <v>1</v>
      </c>
      <c r="K58" s="785">
        <f>I58/H58-1</f>
        <v>-0.04296047205948472</v>
      </c>
      <c r="L58" s="784">
        <f>L19+L28+L33+L56</f>
        <v>19308772</v>
      </c>
      <c r="M58" s="785">
        <f t="shared" si="6"/>
        <v>1</v>
      </c>
      <c r="N58" s="786">
        <f t="shared" si="0"/>
        <v>-0.06660670526452317</v>
      </c>
    </row>
    <row r="59" spans="1:14" s="13" customFormat="1" ht="15.75">
      <c r="A59" s="787"/>
      <c r="B59" s="788"/>
      <c r="C59" s="789" t="s">
        <v>53</v>
      </c>
      <c r="D59" s="790"/>
      <c r="E59" s="790"/>
      <c r="F59" s="790"/>
      <c r="G59" s="790"/>
      <c r="H59" s="791"/>
      <c r="I59" s="792">
        <v>-525733</v>
      </c>
      <c r="J59" s="793"/>
      <c r="K59" s="793"/>
      <c r="L59" s="792">
        <v>-450000</v>
      </c>
      <c r="M59" s="793"/>
      <c r="N59" s="794"/>
    </row>
    <row r="60" spans="1:14" s="11" customFormat="1" ht="15.75">
      <c r="A60" s="795"/>
      <c r="B60" s="796"/>
      <c r="C60" s="844" t="s">
        <v>54</v>
      </c>
      <c r="D60" s="845"/>
      <c r="E60" s="845"/>
      <c r="F60" s="845"/>
      <c r="G60" s="845"/>
      <c r="H60" s="791">
        <f>20815242+800000</f>
        <v>21615242</v>
      </c>
      <c r="I60" s="791">
        <v>20160908</v>
      </c>
      <c r="J60" s="793">
        <f>I60/$I$58</f>
        <v>0.9745858692090223</v>
      </c>
      <c r="K60" s="793">
        <f>I60/H60-1</f>
        <v>-0.06728279979470042</v>
      </c>
      <c r="L60" s="791">
        <v>18858772</v>
      </c>
      <c r="M60" s="793">
        <f>L60/$L$57</f>
        <v>0.9766945303409248</v>
      </c>
      <c r="N60" s="797">
        <f t="shared" si="0"/>
        <v>-0.06458717037942929</v>
      </c>
    </row>
    <row r="61" spans="1:14" s="11" customFormat="1" ht="16.5" thickBot="1">
      <c r="A61" s="798"/>
      <c r="B61" s="799"/>
      <c r="C61" s="846" t="s">
        <v>55</v>
      </c>
      <c r="D61" s="847"/>
      <c r="E61" s="847"/>
      <c r="F61" s="847"/>
      <c r="G61" s="847"/>
      <c r="H61" s="800">
        <f>H60-H58</f>
        <v>0</v>
      </c>
      <c r="I61" s="801">
        <f>I60-I58-I59</f>
        <v>0</v>
      </c>
      <c r="J61" s="802"/>
      <c r="K61" s="802"/>
      <c r="L61" s="801"/>
      <c r="M61" s="802"/>
      <c r="N61" s="803"/>
    </row>
    <row r="62" spans="1:14" ht="15">
      <c r="A62" s="14"/>
      <c r="B62" s="14"/>
      <c r="C62" s="14"/>
      <c r="D62" s="14"/>
      <c r="E62" s="14"/>
      <c r="F62" s="14"/>
      <c r="G62" s="14"/>
      <c r="H62" s="15"/>
      <c r="I62" s="16"/>
      <c r="J62" s="17"/>
      <c r="K62" s="18"/>
      <c r="L62" s="18"/>
      <c r="M62" s="17"/>
      <c r="N62" s="18"/>
    </row>
    <row r="63" spans="1:14" ht="15">
      <c r="A63" s="19" t="s">
        <v>56</v>
      </c>
      <c r="B63" s="14"/>
      <c r="C63" s="14"/>
      <c r="D63" s="14"/>
      <c r="E63" s="14"/>
      <c r="F63" s="14"/>
      <c r="G63" s="16"/>
      <c r="H63" s="16"/>
      <c r="I63" s="16"/>
      <c r="J63" s="20"/>
      <c r="K63" s="16"/>
      <c r="L63" s="15"/>
      <c r="M63" s="20"/>
      <c r="N63" s="15"/>
    </row>
    <row r="64" spans="10:14" s="21" customFormat="1" ht="23.25">
      <c r="J64" s="22"/>
      <c r="K64" s="22"/>
      <c r="L64" s="22"/>
      <c r="M64" s="22"/>
      <c r="N64" s="22"/>
    </row>
    <row r="65" spans="10:14" s="21" customFormat="1" ht="12.75">
      <c r="J65" s="24"/>
      <c r="L65" s="23"/>
      <c r="M65" s="24"/>
      <c r="N65" s="23"/>
    </row>
    <row r="66" spans="8:13" ht="14.25">
      <c r="H66" s="2" t="s">
        <v>317</v>
      </c>
      <c r="J66" s="25"/>
      <c r="L66" s="4"/>
      <c r="M66" s="25"/>
    </row>
    <row r="67" spans="10:13" ht="14.25">
      <c r="J67" s="25"/>
      <c r="L67" s="4"/>
      <c r="M67" s="25"/>
    </row>
    <row r="68" spans="10:13" ht="14.25">
      <c r="J68" s="25"/>
      <c r="L68" s="4"/>
      <c r="M68" s="25"/>
    </row>
    <row r="69" spans="10:13" ht="14.25">
      <c r="J69" s="25"/>
      <c r="L69" s="4"/>
      <c r="M69" s="25"/>
    </row>
    <row r="70" ht="23.25">
      <c r="I70" s="26"/>
    </row>
    <row r="71" ht="23.25">
      <c r="I71" s="26"/>
    </row>
    <row r="72" ht="23.25">
      <c r="I72" s="26"/>
    </row>
    <row r="73" ht="23.25">
      <c r="I73" s="26"/>
    </row>
    <row r="74" ht="23.25">
      <c r="I74" s="26"/>
    </row>
    <row r="75" ht="23.25">
      <c r="I75" s="26"/>
    </row>
    <row r="76" ht="23.25">
      <c r="I76" s="26"/>
    </row>
    <row r="77" ht="23.25">
      <c r="I77" s="26"/>
    </row>
    <row r="78" ht="23.25">
      <c r="I78" s="26"/>
    </row>
    <row r="79" ht="23.25">
      <c r="I79" s="26"/>
    </row>
    <row r="80" ht="23.25">
      <c r="I80" s="26"/>
    </row>
    <row r="81" ht="23.25">
      <c r="I81" s="26"/>
    </row>
    <row r="82" ht="23.25">
      <c r="I82" s="26"/>
    </row>
    <row r="83" ht="23.25">
      <c r="I83" s="26"/>
    </row>
    <row r="84" ht="23.25">
      <c r="I84" s="26"/>
    </row>
    <row r="85" ht="23.25">
      <c r="I85" s="26"/>
    </row>
    <row r="86" ht="23.25">
      <c r="I86" s="26"/>
    </row>
    <row r="87" ht="23.25">
      <c r="I87" s="26"/>
    </row>
    <row r="88" ht="23.25">
      <c r="I88" s="26"/>
    </row>
    <row r="89" ht="23.25">
      <c r="I89" s="26"/>
    </row>
    <row r="90" ht="23.25">
      <c r="I90" s="26"/>
    </row>
    <row r="91" ht="23.25">
      <c r="I91" s="26"/>
    </row>
    <row r="92" ht="23.25">
      <c r="I92" s="26"/>
    </row>
    <row r="93" ht="23.25">
      <c r="I93" s="26"/>
    </row>
    <row r="94" ht="23.25">
      <c r="I94" s="26"/>
    </row>
    <row r="95" ht="23.25">
      <c r="I95" s="26"/>
    </row>
  </sheetData>
  <sheetProtection/>
  <mergeCells count="39">
    <mergeCell ref="A6:D6"/>
    <mergeCell ref="A1:N1"/>
    <mergeCell ref="A4:D4"/>
    <mergeCell ref="I4:J4"/>
    <mergeCell ref="A5:D5"/>
    <mergeCell ref="I6:J6"/>
    <mergeCell ref="I5:J5"/>
    <mergeCell ref="A7:D7"/>
    <mergeCell ref="I7:J7"/>
    <mergeCell ref="I8:J8"/>
    <mergeCell ref="A9:I9"/>
    <mergeCell ref="A10:A12"/>
    <mergeCell ref="B10:B12"/>
    <mergeCell ref="H10:H12"/>
    <mergeCell ref="I10:I12"/>
    <mergeCell ref="C10:G12"/>
    <mergeCell ref="A8:H8"/>
    <mergeCell ref="C24:G24"/>
    <mergeCell ref="K10:K12"/>
    <mergeCell ref="J10:J12"/>
    <mergeCell ref="L10:L12"/>
    <mergeCell ref="N10:N12"/>
    <mergeCell ref="C13:G13"/>
    <mergeCell ref="C16:G16"/>
    <mergeCell ref="C17:G17"/>
    <mergeCell ref="C18:G18"/>
    <mergeCell ref="C19:G19"/>
    <mergeCell ref="C22:G22"/>
    <mergeCell ref="C23:G23"/>
    <mergeCell ref="M10:M12"/>
    <mergeCell ref="C33:G33"/>
    <mergeCell ref="C60:G60"/>
    <mergeCell ref="C61:G61"/>
    <mergeCell ref="C25:G25"/>
    <mergeCell ref="C26:G26"/>
    <mergeCell ref="C27:G27"/>
    <mergeCell ref="C28:G28"/>
    <mergeCell ref="C31:G31"/>
    <mergeCell ref="C32:G32"/>
  </mergeCells>
  <printOptions horizontalCentered="1"/>
  <pageMargins left="0.1968503937007874" right="0.2362204724409449" top="0.4724409448818898" bottom="0.31496062992125984" header="0.15748031496062992" footer="0.15748031496062992"/>
  <pageSetup fitToHeight="1" fitToWidth="1" horizontalDpi="600" verticalDpi="600" orientation="landscape" paperSize="8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57421875" style="679" customWidth="1"/>
    <col min="2" max="2" width="41.57421875" style="679" customWidth="1"/>
    <col min="3" max="3" width="12.57421875" style="679" customWidth="1"/>
    <col min="4" max="4" width="12.7109375" style="679" customWidth="1"/>
    <col min="5" max="5" width="13.28125" style="679" customWidth="1"/>
    <col min="6" max="6" width="13.00390625" style="679" customWidth="1"/>
    <col min="7" max="7" width="11.57421875" style="679" customWidth="1"/>
    <col min="8" max="255" width="9.140625" style="679" customWidth="1"/>
    <col min="256" max="16384" width="5.57421875" style="679" customWidth="1"/>
  </cols>
  <sheetData>
    <row r="1" spans="1:7" s="253" customFormat="1" ht="39.75" customHeight="1">
      <c r="A1" s="1003" t="s">
        <v>386</v>
      </c>
      <c r="B1" s="1003"/>
      <c r="C1" s="1003"/>
      <c r="D1" s="1003"/>
      <c r="E1" s="1003"/>
      <c r="G1" s="645"/>
    </row>
    <row r="2" s="253" customFormat="1" ht="14.25"/>
    <row r="3" spans="1:5" s="260" customFormat="1" ht="12.75">
      <c r="A3" s="646" t="s">
        <v>364</v>
      </c>
      <c r="B3" s="290"/>
      <c r="C3" s="290"/>
      <c r="D3" s="647"/>
      <c r="E3" s="267">
        <v>40000</v>
      </c>
    </row>
    <row r="4" spans="1:5" s="260" customFormat="1" ht="12.75">
      <c r="A4" s="646" t="s">
        <v>365</v>
      </c>
      <c r="B4" s="290"/>
      <c r="C4" s="290"/>
      <c r="D4" s="647"/>
      <c r="E4" s="648">
        <f>+E35*1000/D35*100</f>
        <v>81.2975082313727</v>
      </c>
    </row>
    <row r="5" spans="1:4" s="260" customFormat="1" ht="12.75">
      <c r="A5" s="293"/>
      <c r="B5" s="293"/>
      <c r="C5" s="293"/>
      <c r="D5" s="649"/>
    </row>
    <row r="6" spans="1:5" s="260" customFormat="1" ht="13.5" thickBot="1">
      <c r="A6" s="650"/>
      <c r="E6" s="651"/>
    </row>
    <row r="7" spans="1:5" s="260" customFormat="1" ht="18.75" customHeight="1">
      <c r="A7" s="997" t="s">
        <v>185</v>
      </c>
      <c r="B7" s="997" t="s">
        <v>347</v>
      </c>
      <c r="C7" s="999" t="s">
        <v>357</v>
      </c>
      <c r="D7" s="1000"/>
      <c r="E7" s="1001" t="s">
        <v>397</v>
      </c>
    </row>
    <row r="8" spans="1:5" s="260" customFormat="1" ht="50.25" customHeight="1" thickBot="1">
      <c r="A8" s="1004"/>
      <c r="B8" s="1004"/>
      <c r="C8" s="598" t="s">
        <v>366</v>
      </c>
      <c r="D8" s="599" t="s">
        <v>367</v>
      </c>
      <c r="E8" s="1005"/>
    </row>
    <row r="9" spans="1:5" s="260" customFormat="1" ht="13.5" thickTop="1">
      <c r="A9" s="652" t="s">
        <v>318</v>
      </c>
      <c r="B9" s="653" t="s">
        <v>144</v>
      </c>
      <c r="C9" s="654">
        <v>191</v>
      </c>
      <c r="D9" s="655">
        <v>11129500</v>
      </c>
      <c r="E9" s="656">
        <f>ROUND(E$3/D$35*D9,)</f>
        <v>9048</v>
      </c>
    </row>
    <row r="10" spans="1:5" s="260" customFormat="1" ht="12.75">
      <c r="A10" s="657" t="s">
        <v>319</v>
      </c>
      <c r="B10" s="658" t="s">
        <v>145</v>
      </c>
      <c r="C10" s="659">
        <v>15</v>
      </c>
      <c r="D10" s="660">
        <v>851000</v>
      </c>
      <c r="E10" s="661">
        <f>ROUND(E$3/D$35*D10,)</f>
        <v>692</v>
      </c>
    </row>
    <row r="11" spans="1:5" s="260" customFormat="1" ht="12.75">
      <c r="A11" s="657" t="s">
        <v>320</v>
      </c>
      <c r="B11" s="658" t="s">
        <v>321</v>
      </c>
      <c r="C11" s="659" t="s">
        <v>322</v>
      </c>
      <c r="D11" s="660" t="s">
        <v>322</v>
      </c>
      <c r="E11" s="661"/>
    </row>
    <row r="12" spans="1:5" s="260" customFormat="1" ht="12.75">
      <c r="A12" s="657" t="s">
        <v>323</v>
      </c>
      <c r="B12" s="658" t="s">
        <v>147</v>
      </c>
      <c r="C12" s="659">
        <v>303</v>
      </c>
      <c r="D12" s="660">
        <v>21001500</v>
      </c>
      <c r="E12" s="661">
        <f>ROUND(E$3/D$35*D12,)</f>
        <v>17074</v>
      </c>
    </row>
    <row r="13" spans="1:5" s="260" customFormat="1" ht="12.75">
      <c r="A13" s="657" t="s">
        <v>324</v>
      </c>
      <c r="B13" s="658" t="s">
        <v>148</v>
      </c>
      <c r="C13" s="659">
        <v>47</v>
      </c>
      <c r="D13" s="660">
        <v>2702000</v>
      </c>
      <c r="E13" s="661">
        <f>ROUND(E$3/D$35*D13,)</f>
        <v>2197</v>
      </c>
    </row>
    <row r="14" spans="1:5" s="260" customFormat="1" ht="12.75">
      <c r="A14" s="657" t="s">
        <v>325</v>
      </c>
      <c r="B14" s="658" t="s">
        <v>149</v>
      </c>
      <c r="C14" s="659" t="s">
        <v>322</v>
      </c>
      <c r="D14" s="660" t="s">
        <v>322</v>
      </c>
      <c r="E14" s="661"/>
    </row>
    <row r="15" spans="1:5" s="260" customFormat="1" ht="12.75">
      <c r="A15" s="657" t="s">
        <v>326</v>
      </c>
      <c r="B15" s="658" t="s">
        <v>150</v>
      </c>
      <c r="C15" s="659">
        <v>29</v>
      </c>
      <c r="D15" s="660">
        <v>1647000</v>
      </c>
      <c r="E15" s="661">
        <f>ROUND(E$3/D$35*D15,)</f>
        <v>1339</v>
      </c>
    </row>
    <row r="16" spans="1:5" s="260" customFormat="1" ht="12.75">
      <c r="A16" s="657" t="s">
        <v>327</v>
      </c>
      <c r="B16" s="658" t="s">
        <v>151</v>
      </c>
      <c r="C16" s="659">
        <v>17</v>
      </c>
      <c r="D16" s="660">
        <v>987500</v>
      </c>
      <c r="E16" s="661">
        <f>ROUND(E$3/D$35*D16,)</f>
        <v>803</v>
      </c>
    </row>
    <row r="17" spans="1:5" s="260" customFormat="1" ht="12.75">
      <c r="A17" s="657" t="s">
        <v>328</v>
      </c>
      <c r="B17" s="658" t="s">
        <v>152</v>
      </c>
      <c r="C17" s="659" t="s">
        <v>322</v>
      </c>
      <c r="D17" s="660" t="s">
        <v>322</v>
      </c>
      <c r="E17" s="661"/>
    </row>
    <row r="18" spans="1:5" s="665" customFormat="1" ht="12.75">
      <c r="A18" s="657" t="s">
        <v>329</v>
      </c>
      <c r="B18" s="658" t="s">
        <v>153</v>
      </c>
      <c r="C18" s="662">
        <v>60</v>
      </c>
      <c r="D18" s="663">
        <v>2409500</v>
      </c>
      <c r="E18" s="664">
        <f>ROUND(E$3/D$35*D18,)</f>
        <v>1959</v>
      </c>
    </row>
    <row r="19" spans="1:5" s="260" customFormat="1" ht="12.75">
      <c r="A19" s="657" t="s">
        <v>330</v>
      </c>
      <c r="B19" s="658" t="s">
        <v>361</v>
      </c>
      <c r="C19" s="659" t="s">
        <v>322</v>
      </c>
      <c r="D19" s="660" t="s">
        <v>322</v>
      </c>
      <c r="E19" s="661"/>
    </row>
    <row r="20" spans="1:5" s="260" customFormat="1" ht="12.75">
      <c r="A20" s="657" t="s">
        <v>331</v>
      </c>
      <c r="B20" s="658" t="s">
        <v>155</v>
      </c>
      <c r="C20" s="659">
        <v>77</v>
      </c>
      <c r="D20" s="660">
        <v>2438500</v>
      </c>
      <c r="E20" s="661">
        <f>ROUND(E$3/D$35*D20,)</f>
        <v>1982</v>
      </c>
    </row>
    <row r="21" spans="1:5" s="260" customFormat="1" ht="12.75">
      <c r="A21" s="657" t="s">
        <v>332</v>
      </c>
      <c r="B21" s="658" t="s">
        <v>156</v>
      </c>
      <c r="C21" s="659" t="s">
        <v>322</v>
      </c>
      <c r="D21" s="660" t="s">
        <v>322</v>
      </c>
      <c r="E21" s="661"/>
    </row>
    <row r="22" spans="1:5" s="260" customFormat="1" ht="12.75">
      <c r="A22" s="657" t="s">
        <v>333</v>
      </c>
      <c r="B22" s="658" t="s">
        <v>157</v>
      </c>
      <c r="C22" s="659">
        <v>7</v>
      </c>
      <c r="D22" s="660">
        <v>330000</v>
      </c>
      <c r="E22" s="661">
        <f>ROUND(E$3/D$35*D22,)</f>
        <v>268</v>
      </c>
    </row>
    <row r="23" spans="1:5" s="260" customFormat="1" ht="12.75">
      <c r="A23" s="657" t="s">
        <v>334</v>
      </c>
      <c r="B23" s="658" t="s">
        <v>158</v>
      </c>
      <c r="C23" s="659" t="s">
        <v>322</v>
      </c>
      <c r="D23" s="660" t="s">
        <v>322</v>
      </c>
      <c r="E23" s="661"/>
    </row>
    <row r="24" spans="1:5" s="260" customFormat="1" ht="12.75">
      <c r="A24" s="657" t="s">
        <v>335</v>
      </c>
      <c r="B24" s="658" t="s">
        <v>362</v>
      </c>
      <c r="C24" s="659">
        <v>37</v>
      </c>
      <c r="D24" s="660">
        <v>1080000</v>
      </c>
      <c r="E24" s="661">
        <f>ROUND(E$3/D$35*D24,)</f>
        <v>878</v>
      </c>
    </row>
    <row r="25" spans="1:5" s="260" customFormat="1" ht="12.75">
      <c r="A25" s="657" t="s">
        <v>336</v>
      </c>
      <c r="B25" s="658" t="s">
        <v>160</v>
      </c>
      <c r="C25" s="659" t="s">
        <v>322</v>
      </c>
      <c r="D25" s="660" t="s">
        <v>322</v>
      </c>
      <c r="E25" s="661"/>
    </row>
    <row r="26" spans="1:5" s="260" customFormat="1" ht="12.75">
      <c r="A26" s="657" t="s">
        <v>337</v>
      </c>
      <c r="B26" s="658" t="s">
        <v>161</v>
      </c>
      <c r="C26" s="659">
        <v>25</v>
      </c>
      <c r="D26" s="660">
        <v>1674500</v>
      </c>
      <c r="E26" s="661">
        <f>ROUND(E$3/D$35*D26,)</f>
        <v>1361</v>
      </c>
    </row>
    <row r="27" spans="1:5" s="260" customFormat="1" ht="12.75">
      <c r="A27" s="657" t="s">
        <v>338</v>
      </c>
      <c r="B27" s="658" t="s">
        <v>162</v>
      </c>
      <c r="C27" s="659">
        <v>37</v>
      </c>
      <c r="D27" s="660">
        <v>1841000</v>
      </c>
      <c r="E27" s="661">
        <f>ROUND(E$3/D$35*D27,)</f>
        <v>1497</v>
      </c>
    </row>
    <row r="28" spans="1:5" s="260" customFormat="1" ht="12.75">
      <c r="A28" s="657" t="s">
        <v>339</v>
      </c>
      <c r="B28" s="658" t="s">
        <v>163</v>
      </c>
      <c r="C28" s="659" t="s">
        <v>322</v>
      </c>
      <c r="D28" s="660" t="s">
        <v>322</v>
      </c>
      <c r="E28" s="661"/>
    </row>
    <row r="29" spans="1:5" s="260" customFormat="1" ht="12.75">
      <c r="A29" s="657" t="s">
        <v>340</v>
      </c>
      <c r="B29" s="658" t="s">
        <v>164</v>
      </c>
      <c r="C29" s="659" t="s">
        <v>322</v>
      </c>
      <c r="D29" s="660" t="s">
        <v>322</v>
      </c>
      <c r="E29" s="661"/>
    </row>
    <row r="30" spans="1:5" s="260" customFormat="1" ht="12.75">
      <c r="A30" s="657" t="s">
        <v>341</v>
      </c>
      <c r="B30" s="658" t="s">
        <v>165</v>
      </c>
      <c r="C30" s="659" t="s">
        <v>322</v>
      </c>
      <c r="D30" s="660" t="s">
        <v>322</v>
      </c>
      <c r="E30" s="661"/>
    </row>
    <row r="31" spans="1:5" s="260" customFormat="1" ht="12.75">
      <c r="A31" s="657" t="s">
        <v>342</v>
      </c>
      <c r="B31" s="658" t="s">
        <v>166</v>
      </c>
      <c r="C31" s="659" t="s">
        <v>322</v>
      </c>
      <c r="D31" s="660" t="s">
        <v>322</v>
      </c>
      <c r="E31" s="661"/>
    </row>
    <row r="32" spans="1:5" s="260" customFormat="1" ht="12.75">
      <c r="A32" s="657" t="s">
        <v>343</v>
      </c>
      <c r="B32" s="658" t="s">
        <v>368</v>
      </c>
      <c r="C32" s="659">
        <v>9</v>
      </c>
      <c r="D32" s="660">
        <v>1110000</v>
      </c>
      <c r="E32" s="661">
        <f>ROUND(E$3/D$35*D32,)</f>
        <v>902</v>
      </c>
    </row>
    <row r="33" spans="1:5" s="260" customFormat="1" ht="12.75">
      <c r="A33" s="657" t="s">
        <v>345</v>
      </c>
      <c r="B33" s="658" t="s">
        <v>168</v>
      </c>
      <c r="C33" s="659" t="s">
        <v>322</v>
      </c>
      <c r="D33" s="660" t="s">
        <v>322</v>
      </c>
      <c r="E33" s="661"/>
    </row>
    <row r="34" spans="1:5" s="260" customFormat="1" ht="13.5" thickBot="1">
      <c r="A34" s="666" t="s">
        <v>346</v>
      </c>
      <c r="B34" s="667" t="s">
        <v>363</v>
      </c>
      <c r="C34" s="659" t="s">
        <v>322</v>
      </c>
      <c r="D34" s="660" t="s">
        <v>322</v>
      </c>
      <c r="E34" s="661"/>
    </row>
    <row r="35" spans="1:7" s="673" customFormat="1" ht="14.25" thickBot="1" thickTop="1">
      <c r="A35" s="668"/>
      <c r="B35" s="669"/>
      <c r="C35" s="670">
        <f>SUM(C9:C34)</f>
        <v>854</v>
      </c>
      <c r="D35" s="671">
        <f>SUM(D9:D34)</f>
        <v>49202000</v>
      </c>
      <c r="E35" s="672">
        <f>SUM(E9:E34)</f>
        <v>40000</v>
      </c>
      <c r="F35" s="320"/>
      <c r="G35" s="320"/>
    </row>
    <row r="36" s="674" customFormat="1" ht="12.75">
      <c r="C36" s="675"/>
    </row>
    <row r="37" s="676" customFormat="1" ht="12.75"/>
    <row r="38" s="676" customFormat="1" ht="12.75"/>
    <row r="39" s="676" customFormat="1" ht="12.75">
      <c r="C39" s="677"/>
    </row>
    <row r="40" spans="1:8" ht="15.75">
      <c r="A40" s="678"/>
      <c r="B40" s="678"/>
      <c r="C40" s="678"/>
      <c r="D40" s="678"/>
      <c r="E40" s="678"/>
      <c r="F40" s="678"/>
      <c r="G40" s="678"/>
      <c r="H40" s="678"/>
    </row>
    <row r="41" spans="1:8" ht="15.75">
      <c r="A41" s="678"/>
      <c r="B41" s="678"/>
      <c r="C41" s="678"/>
      <c r="D41" s="678"/>
      <c r="E41" s="678"/>
      <c r="F41" s="678"/>
      <c r="G41" s="678"/>
      <c r="H41" s="678"/>
    </row>
    <row r="42" spans="1:8" ht="15.75">
      <c r="A42" s="678"/>
      <c r="B42" s="678"/>
      <c r="C42" s="678"/>
      <c r="D42" s="678"/>
      <c r="E42" s="678"/>
      <c r="F42" s="678"/>
      <c r="G42" s="678"/>
      <c r="H42" s="678"/>
    </row>
    <row r="43" spans="1:8" ht="15.75">
      <c r="A43" s="678"/>
      <c r="B43" s="678"/>
      <c r="C43" s="678"/>
      <c r="D43" s="678"/>
      <c r="E43" s="678"/>
      <c r="F43" s="678"/>
      <c r="G43" s="678"/>
      <c r="H43" s="678"/>
    </row>
    <row r="44" spans="1:8" ht="15.75">
      <c r="A44" s="678"/>
      <c r="B44" s="678"/>
      <c r="C44" s="678"/>
      <c r="D44" s="678"/>
      <c r="E44" s="678"/>
      <c r="F44" s="678"/>
      <c r="G44" s="678"/>
      <c r="H44" s="678"/>
    </row>
    <row r="45" spans="1:8" ht="15.75">
      <c r="A45" s="678"/>
      <c r="B45" s="678"/>
      <c r="C45" s="678"/>
      <c r="D45" s="678"/>
      <c r="E45" s="678"/>
      <c r="F45" s="678"/>
      <c r="G45" s="678"/>
      <c r="H45" s="678"/>
    </row>
    <row r="46" spans="1:8" ht="15.75">
      <c r="A46" s="678"/>
      <c r="B46" s="678"/>
      <c r="C46" s="678"/>
      <c r="D46" s="678"/>
      <c r="E46" s="678"/>
      <c r="F46" s="678"/>
      <c r="G46" s="678"/>
      <c r="H46" s="678"/>
    </row>
    <row r="47" spans="1:8" ht="15.75">
      <c r="A47" s="678"/>
      <c r="B47" s="678"/>
      <c r="C47" s="678"/>
      <c r="D47" s="678"/>
      <c r="E47" s="678"/>
      <c r="F47" s="678"/>
      <c r="G47" s="678"/>
      <c r="H47" s="678"/>
    </row>
    <row r="48" spans="1:8" ht="15.75">
      <c r="A48" s="678"/>
      <c r="B48" s="678"/>
      <c r="C48" s="678"/>
      <c r="D48" s="678"/>
      <c r="E48" s="678"/>
      <c r="F48" s="678"/>
      <c r="G48" s="678"/>
      <c r="H48" s="678"/>
    </row>
    <row r="49" spans="1:8" ht="15.75">
      <c r="A49" s="678"/>
      <c r="B49" s="678"/>
      <c r="C49" s="678"/>
      <c r="D49" s="678"/>
      <c r="E49" s="678"/>
      <c r="F49" s="678"/>
      <c r="G49" s="678"/>
      <c r="H49" s="678"/>
    </row>
    <row r="50" spans="1:8" ht="15.75">
      <c r="A50" s="678"/>
      <c r="B50" s="678"/>
      <c r="C50" s="678"/>
      <c r="D50" s="678"/>
      <c r="E50" s="678"/>
      <c r="F50" s="678"/>
      <c r="G50" s="678"/>
      <c r="H50" s="678"/>
    </row>
    <row r="51" spans="1:8" ht="15.75">
      <c r="A51" s="678"/>
      <c r="B51" s="678"/>
      <c r="C51" s="678"/>
      <c r="D51" s="678"/>
      <c r="E51" s="678"/>
      <c r="F51" s="678"/>
      <c r="G51" s="678"/>
      <c r="H51" s="678"/>
    </row>
    <row r="52" spans="1:8" ht="15.75">
      <c r="A52" s="678"/>
      <c r="B52" s="678"/>
      <c r="C52" s="678"/>
      <c r="D52" s="678"/>
      <c r="E52" s="678"/>
      <c r="F52" s="678"/>
      <c r="G52" s="678"/>
      <c r="H52" s="678"/>
    </row>
    <row r="53" spans="1:8" ht="15.75">
      <c r="A53" s="678"/>
      <c r="B53" s="678"/>
      <c r="C53" s="678"/>
      <c r="D53" s="678"/>
      <c r="E53" s="678"/>
      <c r="F53" s="678"/>
      <c r="G53" s="678"/>
      <c r="H53" s="678"/>
    </row>
    <row r="54" spans="1:8" ht="15.75">
      <c r="A54" s="678"/>
      <c r="B54" s="678"/>
      <c r="C54" s="678"/>
      <c r="D54" s="678"/>
      <c r="E54" s="678"/>
      <c r="F54" s="678"/>
      <c r="G54" s="678"/>
      <c r="H54" s="678"/>
    </row>
    <row r="55" spans="1:8" ht="15.75">
      <c r="A55" s="678"/>
      <c r="B55" s="678"/>
      <c r="C55" s="678"/>
      <c r="D55" s="678"/>
      <c r="E55" s="678"/>
      <c r="F55" s="678"/>
      <c r="G55" s="678"/>
      <c r="H55" s="678"/>
    </row>
    <row r="56" spans="1:8" ht="15.75">
      <c r="A56" s="678"/>
      <c r="B56" s="678"/>
      <c r="C56" s="678"/>
      <c r="D56" s="678"/>
      <c r="E56" s="678"/>
      <c r="F56" s="678"/>
      <c r="G56" s="678"/>
      <c r="H56" s="678"/>
    </row>
    <row r="57" spans="1:8" ht="15.75">
      <c r="A57" s="678"/>
      <c r="B57" s="678"/>
      <c r="C57" s="678"/>
      <c r="D57" s="678"/>
      <c r="E57" s="678"/>
      <c r="F57" s="678"/>
      <c r="G57" s="678"/>
      <c r="H57" s="678"/>
    </row>
    <row r="58" spans="1:8" ht="15.75">
      <c r="A58" s="678"/>
      <c r="B58" s="678"/>
      <c r="C58" s="678"/>
      <c r="D58" s="678"/>
      <c r="E58" s="678"/>
      <c r="F58" s="678"/>
      <c r="G58" s="678"/>
      <c r="H58" s="678"/>
    </row>
    <row r="59" spans="1:8" ht="15.75">
      <c r="A59" s="678"/>
      <c r="B59" s="678"/>
      <c r="C59" s="678"/>
      <c r="D59" s="678"/>
      <c r="E59" s="678"/>
      <c r="F59" s="678"/>
      <c r="G59" s="678"/>
      <c r="H59" s="678"/>
    </row>
    <row r="60" spans="1:8" ht="15.75">
      <c r="A60" s="678"/>
      <c r="B60" s="678"/>
      <c r="C60" s="678"/>
      <c r="D60" s="678"/>
      <c r="E60" s="678"/>
      <c r="F60" s="678"/>
      <c r="G60" s="678"/>
      <c r="H60" s="678"/>
    </row>
    <row r="61" spans="1:8" ht="15.75">
      <c r="A61" s="678"/>
      <c r="B61" s="678"/>
      <c r="C61" s="678"/>
      <c r="D61" s="678"/>
      <c r="E61" s="678"/>
      <c r="F61" s="678"/>
      <c r="G61" s="678"/>
      <c r="H61" s="678"/>
    </row>
    <row r="62" spans="1:8" ht="15.75">
      <c r="A62" s="678"/>
      <c r="B62" s="678"/>
      <c r="C62" s="678"/>
      <c r="D62" s="678"/>
      <c r="E62" s="678"/>
      <c r="F62" s="678"/>
      <c r="G62" s="678"/>
      <c r="H62" s="678"/>
    </row>
    <row r="63" spans="1:8" ht="15.75">
      <c r="A63" s="678"/>
      <c r="B63" s="678"/>
      <c r="C63" s="678"/>
      <c r="D63" s="678"/>
      <c r="E63" s="678"/>
      <c r="F63" s="678"/>
      <c r="G63" s="678"/>
      <c r="H63" s="678"/>
    </row>
    <row r="64" spans="1:8" ht="15.75">
      <c r="A64" s="678"/>
      <c r="B64" s="678"/>
      <c r="C64" s="678"/>
      <c r="D64" s="678"/>
      <c r="E64" s="678"/>
      <c r="F64" s="678"/>
      <c r="G64" s="678"/>
      <c r="H64" s="678"/>
    </row>
    <row r="65" spans="1:8" ht="15.75">
      <c r="A65" s="678"/>
      <c r="B65" s="678"/>
      <c r="C65" s="678"/>
      <c r="D65" s="678"/>
      <c r="E65" s="678"/>
      <c r="F65" s="678"/>
      <c r="G65" s="678"/>
      <c r="H65" s="678"/>
    </row>
    <row r="66" spans="1:8" ht="15.75">
      <c r="A66" s="678"/>
      <c r="B66" s="678"/>
      <c r="C66" s="678"/>
      <c r="D66" s="678"/>
      <c r="E66" s="678"/>
      <c r="F66" s="678"/>
      <c r="G66" s="678"/>
      <c r="H66" s="678"/>
    </row>
    <row r="67" spans="1:8" ht="15.75">
      <c r="A67" s="678"/>
      <c r="B67" s="678"/>
      <c r="C67" s="678"/>
      <c r="D67" s="678"/>
      <c r="E67" s="678"/>
      <c r="F67" s="678"/>
      <c r="G67" s="678"/>
      <c r="H67" s="678"/>
    </row>
    <row r="68" spans="1:8" ht="15.75">
      <c r="A68" s="678"/>
      <c r="B68" s="678"/>
      <c r="C68" s="678"/>
      <c r="D68" s="678"/>
      <c r="E68" s="678"/>
      <c r="F68" s="678"/>
      <c r="G68" s="678"/>
      <c r="H68" s="678"/>
    </row>
    <row r="69" spans="1:8" ht="15.75">
      <c r="A69" s="678"/>
      <c r="B69" s="678"/>
      <c r="C69" s="678"/>
      <c r="D69" s="678"/>
      <c r="E69" s="678"/>
      <c r="F69" s="678"/>
      <c r="G69" s="678"/>
      <c r="H69" s="678"/>
    </row>
    <row r="70" spans="1:8" ht="15.75">
      <c r="A70" s="678"/>
      <c r="B70" s="678"/>
      <c r="C70" s="678"/>
      <c r="D70" s="678"/>
      <c r="E70" s="678"/>
      <c r="F70" s="678"/>
      <c r="G70" s="678"/>
      <c r="H70" s="678"/>
    </row>
    <row r="71" spans="1:8" ht="15.75">
      <c r="A71" s="678"/>
      <c r="B71" s="678"/>
      <c r="C71" s="678"/>
      <c r="D71" s="678"/>
      <c r="E71" s="678"/>
      <c r="F71" s="678"/>
      <c r="G71" s="678"/>
      <c r="H71" s="678"/>
    </row>
  </sheetData>
  <sheetProtection/>
  <mergeCells count="5">
    <mergeCell ref="A7:A8"/>
    <mergeCell ref="B7:B8"/>
    <mergeCell ref="C7:D7"/>
    <mergeCell ref="E7:E8"/>
    <mergeCell ref="A1:E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421875" style="563" customWidth="1"/>
    <col min="2" max="2" width="42.140625" style="563" customWidth="1"/>
    <col min="3" max="3" width="9.28125" style="562" customWidth="1"/>
    <col min="4" max="4" width="9.57421875" style="563" customWidth="1"/>
    <col min="5" max="5" width="8.7109375" style="564" customWidth="1"/>
    <col min="6" max="6" width="9.421875" style="563" customWidth="1"/>
    <col min="7" max="7" width="9.57421875" style="564" customWidth="1"/>
    <col min="8" max="8" width="9.00390625" style="563" customWidth="1"/>
    <col min="9" max="9" width="5.421875" style="563" customWidth="1"/>
    <col min="10" max="251" width="9.140625" style="563" customWidth="1"/>
    <col min="252" max="252" width="0" style="563" hidden="1" customWidth="1"/>
    <col min="253" max="253" width="18.28125" style="563" customWidth="1"/>
    <col min="254" max="254" width="9.7109375" style="563" customWidth="1"/>
    <col min="255" max="16384" width="9.140625" style="563" customWidth="1"/>
  </cols>
  <sheetData>
    <row r="1" spans="1:7" s="602" customFormat="1" ht="15.75">
      <c r="A1" s="600" t="s">
        <v>393</v>
      </c>
      <c r="B1" s="601"/>
      <c r="C1" s="601"/>
      <c r="E1" s="603"/>
      <c r="G1" s="603"/>
    </row>
    <row r="2" spans="2:7" s="602" customFormat="1" ht="13.5" thickBot="1">
      <c r="B2" s="601"/>
      <c r="C2" s="601"/>
      <c r="E2" s="603"/>
      <c r="G2" s="603"/>
    </row>
    <row r="3" spans="1:7" s="602" customFormat="1" ht="13.5" thickBot="1">
      <c r="A3" s="604" t="s">
        <v>369</v>
      </c>
      <c r="B3" s="605"/>
      <c r="C3" s="606" t="s">
        <v>187</v>
      </c>
      <c r="E3" s="603"/>
      <c r="G3" s="603"/>
    </row>
    <row r="4" spans="1:7" s="602" customFormat="1" ht="12.75">
      <c r="A4" s="607" t="s">
        <v>370</v>
      </c>
      <c r="B4" s="608"/>
      <c r="C4" s="609">
        <v>287548</v>
      </c>
      <c r="E4" s="603"/>
      <c r="G4" s="603"/>
    </row>
    <row r="5" spans="1:7" s="602" customFormat="1" ht="12.75">
      <c r="A5" s="610" t="s">
        <v>371</v>
      </c>
      <c r="B5" s="611"/>
      <c r="C5" s="612">
        <v>-5175</v>
      </c>
      <c r="E5" s="603"/>
      <c r="G5" s="603"/>
    </row>
    <row r="6" spans="1:7" s="602" customFormat="1" ht="12.75">
      <c r="A6" s="610" t="s">
        <v>372</v>
      </c>
      <c r="B6" s="611"/>
      <c r="C6" s="612">
        <f>SUM(C4:C5)</f>
        <v>282373</v>
      </c>
      <c r="E6" s="603"/>
      <c r="G6" s="603"/>
    </row>
    <row r="7" spans="1:7" s="602" customFormat="1" ht="12.75">
      <c r="A7" s="610" t="s">
        <v>373</v>
      </c>
      <c r="B7" s="611"/>
      <c r="C7" s="612">
        <v>251273</v>
      </c>
      <c r="E7" s="603"/>
      <c r="G7" s="603"/>
    </row>
    <row r="8" spans="1:7" s="602" customFormat="1" ht="12.75">
      <c r="A8" s="610" t="s">
        <v>374</v>
      </c>
      <c r="B8" s="611"/>
      <c r="C8" s="612">
        <f>C6-C7</f>
        <v>31100</v>
      </c>
      <c r="E8" s="603"/>
      <c r="G8" s="603"/>
    </row>
    <row r="9" spans="1:7" s="602" customFormat="1" ht="12.75">
      <c r="A9" s="610" t="s">
        <v>375</v>
      </c>
      <c r="B9" s="611"/>
      <c r="C9" s="612">
        <v>22504</v>
      </c>
      <c r="E9" s="603"/>
      <c r="G9" s="603"/>
    </row>
    <row r="10" spans="1:7" s="602" customFormat="1" ht="13.5" thickBot="1">
      <c r="A10" s="613" t="s">
        <v>376</v>
      </c>
      <c r="B10" s="614"/>
      <c r="C10" s="615">
        <f>C8-C9</f>
        <v>8596</v>
      </c>
      <c r="D10" s="616"/>
      <c r="E10" s="603"/>
      <c r="G10" s="603"/>
    </row>
    <row r="11" spans="3:7" s="602" customFormat="1" ht="12.75">
      <c r="C11" s="601"/>
      <c r="E11" s="603"/>
      <c r="G11" s="603"/>
    </row>
    <row r="12" spans="4:8" s="602" customFormat="1" ht="13.5" thickBot="1">
      <c r="D12" s="601"/>
      <c r="F12" s="603"/>
      <c r="H12" s="680" t="s">
        <v>187</v>
      </c>
    </row>
    <row r="13" spans="1:8" s="602" customFormat="1" ht="26.25" thickBot="1">
      <c r="A13" s="617" t="s">
        <v>185</v>
      </c>
      <c r="B13" s="618" t="s">
        <v>377</v>
      </c>
      <c r="C13" s="619" t="s">
        <v>378</v>
      </c>
      <c r="D13" s="620" t="s">
        <v>379</v>
      </c>
      <c r="E13" s="619" t="s">
        <v>380</v>
      </c>
      <c r="F13" s="620" t="s">
        <v>379</v>
      </c>
      <c r="G13" s="620" t="s">
        <v>381</v>
      </c>
      <c r="H13" s="621" t="s">
        <v>382</v>
      </c>
    </row>
    <row r="14" spans="1:8" s="602" customFormat="1" ht="12.75">
      <c r="A14" s="642">
        <v>1100</v>
      </c>
      <c r="B14" s="556" t="s">
        <v>383</v>
      </c>
      <c r="C14" s="622">
        <v>16162</v>
      </c>
      <c r="D14" s="623">
        <v>13</v>
      </c>
      <c r="E14" s="622">
        <f>7657+5175</f>
        <v>12832</v>
      </c>
      <c r="F14" s="623">
        <v>57</v>
      </c>
      <c r="G14" s="622">
        <f aca="true" t="shared" si="0" ref="G14:H39">C14+E14</f>
        <v>28994</v>
      </c>
      <c r="H14" s="624">
        <f t="shared" si="0"/>
        <v>70</v>
      </c>
    </row>
    <row r="15" spans="1:8" s="602" customFormat="1" ht="12.75">
      <c r="A15" s="643">
        <v>1200</v>
      </c>
      <c r="B15" s="557" t="s">
        <v>145</v>
      </c>
      <c r="C15" s="625">
        <v>5851</v>
      </c>
      <c r="D15" s="626">
        <v>4</v>
      </c>
      <c r="E15" s="625">
        <v>1859</v>
      </c>
      <c r="F15" s="626">
        <v>21</v>
      </c>
      <c r="G15" s="625">
        <f t="shared" si="0"/>
        <v>7710</v>
      </c>
      <c r="H15" s="627">
        <f t="shared" si="0"/>
        <v>25</v>
      </c>
    </row>
    <row r="16" spans="1:8" s="602" customFormat="1" ht="12.75">
      <c r="A16" s="643">
        <v>1300</v>
      </c>
      <c r="B16" s="557" t="s">
        <v>321</v>
      </c>
      <c r="C16" s="625">
        <v>3459</v>
      </c>
      <c r="D16" s="626">
        <v>2</v>
      </c>
      <c r="E16" s="625">
        <v>306</v>
      </c>
      <c r="F16" s="626">
        <v>5</v>
      </c>
      <c r="G16" s="625">
        <f t="shared" si="0"/>
        <v>3765</v>
      </c>
      <c r="H16" s="627">
        <f t="shared" si="0"/>
        <v>7</v>
      </c>
    </row>
    <row r="17" spans="1:8" s="602" customFormat="1" ht="12.75">
      <c r="A17" s="643">
        <v>1400</v>
      </c>
      <c r="B17" s="557" t="s">
        <v>147</v>
      </c>
      <c r="C17" s="625">
        <v>4156</v>
      </c>
      <c r="D17" s="626">
        <v>4</v>
      </c>
      <c r="E17" s="625">
        <v>5702</v>
      </c>
      <c r="F17" s="626">
        <v>57</v>
      </c>
      <c r="G17" s="625">
        <f t="shared" si="0"/>
        <v>9858</v>
      </c>
      <c r="H17" s="627">
        <f t="shared" si="0"/>
        <v>61</v>
      </c>
    </row>
    <row r="18" spans="1:8" s="602" customFormat="1" ht="12.75">
      <c r="A18" s="643">
        <v>1500</v>
      </c>
      <c r="B18" s="557" t="s">
        <v>148</v>
      </c>
      <c r="C18" s="625">
        <v>4639</v>
      </c>
      <c r="D18" s="626">
        <v>3</v>
      </c>
      <c r="E18" s="625">
        <v>5349</v>
      </c>
      <c r="F18" s="626">
        <v>48</v>
      </c>
      <c r="G18" s="625">
        <f t="shared" si="0"/>
        <v>9988</v>
      </c>
      <c r="H18" s="627">
        <f t="shared" si="0"/>
        <v>51</v>
      </c>
    </row>
    <row r="19" spans="1:8" s="602" customFormat="1" ht="12.75">
      <c r="A19" s="643">
        <v>1600</v>
      </c>
      <c r="B19" s="557" t="s">
        <v>149</v>
      </c>
      <c r="C19" s="625">
        <v>1745</v>
      </c>
      <c r="D19" s="626">
        <v>1</v>
      </c>
      <c r="E19" s="625">
        <v>939</v>
      </c>
      <c r="F19" s="626">
        <v>6</v>
      </c>
      <c r="G19" s="625">
        <f t="shared" si="0"/>
        <v>2684</v>
      </c>
      <c r="H19" s="627">
        <f t="shared" si="0"/>
        <v>7</v>
      </c>
    </row>
    <row r="20" spans="1:8" s="602" customFormat="1" ht="12.75">
      <c r="A20" s="643">
        <v>1700</v>
      </c>
      <c r="B20" s="557" t="s">
        <v>150</v>
      </c>
      <c r="C20" s="625">
        <v>3699</v>
      </c>
      <c r="D20" s="626">
        <v>3</v>
      </c>
      <c r="E20" s="625">
        <v>1432</v>
      </c>
      <c r="F20" s="626">
        <v>11</v>
      </c>
      <c r="G20" s="625">
        <f t="shared" si="0"/>
        <v>5131</v>
      </c>
      <c r="H20" s="627">
        <f t="shared" si="0"/>
        <v>14</v>
      </c>
    </row>
    <row r="21" spans="1:8" s="602" customFormat="1" ht="12.75">
      <c r="A21" s="643">
        <v>1800</v>
      </c>
      <c r="B21" s="557" t="s">
        <v>151</v>
      </c>
      <c r="C21" s="625">
        <v>4722</v>
      </c>
      <c r="D21" s="626">
        <v>3</v>
      </c>
      <c r="E21" s="625">
        <v>549</v>
      </c>
      <c r="F21" s="626">
        <v>9</v>
      </c>
      <c r="G21" s="625">
        <f t="shared" si="0"/>
        <v>5271</v>
      </c>
      <c r="H21" s="627">
        <f t="shared" si="0"/>
        <v>12</v>
      </c>
    </row>
    <row r="22" spans="1:8" s="602" customFormat="1" ht="12.75">
      <c r="A22" s="643">
        <v>1900</v>
      </c>
      <c r="B22" s="557" t="s">
        <v>152</v>
      </c>
      <c r="C22" s="625">
        <v>5538</v>
      </c>
      <c r="D22" s="626">
        <v>4</v>
      </c>
      <c r="E22" s="625">
        <v>451</v>
      </c>
      <c r="F22" s="626">
        <v>4</v>
      </c>
      <c r="G22" s="625">
        <f t="shared" si="0"/>
        <v>5989</v>
      </c>
      <c r="H22" s="627">
        <f t="shared" si="0"/>
        <v>8</v>
      </c>
    </row>
    <row r="23" spans="1:8" s="602" customFormat="1" ht="12.75">
      <c r="A23" s="643">
        <v>2100</v>
      </c>
      <c r="B23" s="557" t="s">
        <v>153</v>
      </c>
      <c r="C23" s="625">
        <v>20294</v>
      </c>
      <c r="D23" s="626">
        <v>12</v>
      </c>
      <c r="E23" s="625">
        <v>17238</v>
      </c>
      <c r="F23" s="626">
        <v>103</v>
      </c>
      <c r="G23" s="625">
        <f t="shared" si="0"/>
        <v>37532</v>
      </c>
      <c r="H23" s="627">
        <f t="shared" si="0"/>
        <v>115</v>
      </c>
    </row>
    <row r="24" spans="1:8" s="602" customFormat="1" ht="12.75">
      <c r="A24" s="643">
        <v>2200</v>
      </c>
      <c r="B24" s="557" t="s">
        <v>361</v>
      </c>
      <c r="C24" s="625">
        <v>8734</v>
      </c>
      <c r="D24" s="626">
        <v>5</v>
      </c>
      <c r="E24" s="625">
        <v>1798</v>
      </c>
      <c r="F24" s="626">
        <v>11</v>
      </c>
      <c r="G24" s="625">
        <f t="shared" si="0"/>
        <v>10532</v>
      </c>
      <c r="H24" s="627">
        <f t="shared" si="0"/>
        <v>16</v>
      </c>
    </row>
    <row r="25" spans="1:8" s="602" customFormat="1" ht="12.75">
      <c r="A25" s="643">
        <v>2300</v>
      </c>
      <c r="B25" s="557" t="s">
        <v>155</v>
      </c>
      <c r="C25" s="625">
        <v>2631</v>
      </c>
      <c r="D25" s="626">
        <v>2</v>
      </c>
      <c r="E25" s="625">
        <v>3415</v>
      </c>
      <c r="F25" s="626">
        <v>24</v>
      </c>
      <c r="G25" s="625">
        <f t="shared" si="0"/>
        <v>6046</v>
      </c>
      <c r="H25" s="627">
        <f t="shared" si="0"/>
        <v>26</v>
      </c>
    </row>
    <row r="26" spans="1:8" s="602" customFormat="1" ht="12.75">
      <c r="A26" s="643">
        <v>2400</v>
      </c>
      <c r="B26" s="557" t="s">
        <v>156</v>
      </c>
      <c r="C26" s="625">
        <v>6682</v>
      </c>
      <c r="D26" s="626">
        <v>4</v>
      </c>
      <c r="E26" s="625">
        <v>777</v>
      </c>
      <c r="F26" s="626">
        <v>8</v>
      </c>
      <c r="G26" s="625">
        <f t="shared" si="0"/>
        <v>7459</v>
      </c>
      <c r="H26" s="627">
        <f t="shared" si="0"/>
        <v>12</v>
      </c>
    </row>
    <row r="27" spans="1:8" s="602" customFormat="1" ht="12.75">
      <c r="A27" s="643">
        <v>2500</v>
      </c>
      <c r="B27" s="557" t="s">
        <v>157</v>
      </c>
      <c r="C27" s="625">
        <v>7139</v>
      </c>
      <c r="D27" s="626">
        <v>5</v>
      </c>
      <c r="E27" s="625">
        <v>3583</v>
      </c>
      <c r="F27" s="626">
        <v>21</v>
      </c>
      <c r="G27" s="625">
        <f t="shared" si="0"/>
        <v>10722</v>
      </c>
      <c r="H27" s="627">
        <f t="shared" si="0"/>
        <v>26</v>
      </c>
    </row>
    <row r="28" spans="1:8" s="602" customFormat="1" ht="12.75">
      <c r="A28" s="643">
        <v>2600</v>
      </c>
      <c r="B28" s="557" t="s">
        <v>158</v>
      </c>
      <c r="C28" s="625">
        <v>21937</v>
      </c>
      <c r="D28" s="626">
        <v>14</v>
      </c>
      <c r="E28" s="625">
        <v>23965</v>
      </c>
      <c r="F28" s="626">
        <v>133</v>
      </c>
      <c r="G28" s="625">
        <f t="shared" si="0"/>
        <v>45902</v>
      </c>
      <c r="H28" s="627">
        <f t="shared" si="0"/>
        <v>147</v>
      </c>
    </row>
    <row r="29" spans="1:8" s="602" customFormat="1" ht="12.75">
      <c r="A29" s="643">
        <v>2700</v>
      </c>
      <c r="B29" s="557" t="s">
        <v>362</v>
      </c>
      <c r="C29" s="625">
        <v>15597</v>
      </c>
      <c r="D29" s="626">
        <v>11</v>
      </c>
      <c r="E29" s="625">
        <v>6173</v>
      </c>
      <c r="F29" s="626">
        <v>42</v>
      </c>
      <c r="G29" s="625">
        <f t="shared" si="0"/>
        <v>21770</v>
      </c>
      <c r="H29" s="627">
        <f t="shared" si="0"/>
        <v>53</v>
      </c>
    </row>
    <row r="30" spans="1:8" s="602" customFormat="1" ht="12.75">
      <c r="A30" s="643">
        <v>2800</v>
      </c>
      <c r="B30" s="557" t="s">
        <v>160</v>
      </c>
      <c r="C30" s="625">
        <v>5245</v>
      </c>
      <c r="D30" s="626">
        <v>3</v>
      </c>
      <c r="E30" s="625">
        <v>551</v>
      </c>
      <c r="F30" s="626">
        <v>3</v>
      </c>
      <c r="G30" s="625">
        <f t="shared" si="0"/>
        <v>5796</v>
      </c>
      <c r="H30" s="627">
        <f t="shared" si="0"/>
        <v>6</v>
      </c>
    </row>
    <row r="31" spans="1:8" s="602" customFormat="1" ht="12.75">
      <c r="A31" s="643">
        <v>3100</v>
      </c>
      <c r="B31" s="557" t="s">
        <v>161</v>
      </c>
      <c r="C31" s="628">
        <v>488</v>
      </c>
      <c r="D31" s="626">
        <v>1</v>
      </c>
      <c r="E31" s="625">
        <v>360</v>
      </c>
      <c r="F31" s="626">
        <v>4</v>
      </c>
      <c r="G31" s="625">
        <f t="shared" si="0"/>
        <v>848</v>
      </c>
      <c r="H31" s="627">
        <f t="shared" si="0"/>
        <v>5</v>
      </c>
    </row>
    <row r="32" spans="1:8" s="602" customFormat="1" ht="12.75">
      <c r="A32" s="643">
        <v>4100</v>
      </c>
      <c r="B32" s="557" t="s">
        <v>162</v>
      </c>
      <c r="C32" s="625">
        <v>7463</v>
      </c>
      <c r="D32" s="626">
        <v>6</v>
      </c>
      <c r="E32" s="625">
        <v>3008</v>
      </c>
      <c r="F32" s="626">
        <v>27</v>
      </c>
      <c r="G32" s="625">
        <f t="shared" si="0"/>
        <v>10471</v>
      </c>
      <c r="H32" s="627">
        <f t="shared" si="0"/>
        <v>33</v>
      </c>
    </row>
    <row r="33" spans="1:8" s="602" customFormat="1" ht="12.75">
      <c r="A33" s="643">
        <v>4300</v>
      </c>
      <c r="B33" s="557" t="s">
        <v>163</v>
      </c>
      <c r="C33" s="625">
        <v>9393</v>
      </c>
      <c r="D33" s="626">
        <v>6</v>
      </c>
      <c r="E33" s="625">
        <v>1623</v>
      </c>
      <c r="F33" s="626">
        <v>18</v>
      </c>
      <c r="G33" s="625">
        <f t="shared" si="0"/>
        <v>11016</v>
      </c>
      <c r="H33" s="627">
        <f t="shared" si="0"/>
        <v>24</v>
      </c>
    </row>
    <row r="34" spans="1:8" s="602" customFormat="1" ht="12.75">
      <c r="A34" s="643">
        <v>5100</v>
      </c>
      <c r="B34" s="557" t="s">
        <v>164</v>
      </c>
      <c r="C34" s="625">
        <v>2872</v>
      </c>
      <c r="D34" s="626">
        <v>3</v>
      </c>
      <c r="E34" s="625">
        <v>1560</v>
      </c>
      <c r="F34" s="626">
        <v>12</v>
      </c>
      <c r="G34" s="625">
        <f t="shared" si="0"/>
        <v>4432</v>
      </c>
      <c r="H34" s="627">
        <f t="shared" si="0"/>
        <v>15</v>
      </c>
    </row>
    <row r="35" spans="1:8" s="602" customFormat="1" ht="12.75">
      <c r="A35" s="643">
        <v>5200</v>
      </c>
      <c r="B35" s="557" t="s">
        <v>165</v>
      </c>
      <c r="C35" s="625">
        <v>0</v>
      </c>
      <c r="D35" s="626">
        <v>0</v>
      </c>
      <c r="E35" s="625">
        <v>200</v>
      </c>
      <c r="F35" s="626">
        <v>1</v>
      </c>
      <c r="G35" s="625">
        <f t="shared" si="0"/>
        <v>200</v>
      </c>
      <c r="H35" s="627">
        <f t="shared" si="0"/>
        <v>1</v>
      </c>
    </row>
    <row r="36" spans="1:8" s="602" customFormat="1" ht="12.75">
      <c r="A36" s="643">
        <v>5300</v>
      </c>
      <c r="B36" s="557" t="s">
        <v>166</v>
      </c>
      <c r="C36" s="628">
        <v>0</v>
      </c>
      <c r="D36" s="626">
        <v>0</v>
      </c>
      <c r="E36" s="625">
        <v>208</v>
      </c>
      <c r="F36" s="626">
        <v>2</v>
      </c>
      <c r="G36" s="625">
        <f t="shared" si="0"/>
        <v>208</v>
      </c>
      <c r="H36" s="627">
        <f t="shared" si="0"/>
        <v>2</v>
      </c>
    </row>
    <row r="37" spans="1:8" s="602" customFormat="1" ht="12.75">
      <c r="A37" s="643">
        <v>5400</v>
      </c>
      <c r="B37" s="557" t="s">
        <v>167</v>
      </c>
      <c r="C37" s="625">
        <v>3381</v>
      </c>
      <c r="D37" s="626">
        <v>2</v>
      </c>
      <c r="E37" s="625">
        <v>513</v>
      </c>
      <c r="F37" s="626">
        <v>5</v>
      </c>
      <c r="G37" s="625">
        <f t="shared" si="0"/>
        <v>3894</v>
      </c>
      <c r="H37" s="627">
        <f t="shared" si="0"/>
        <v>7</v>
      </c>
    </row>
    <row r="38" spans="1:8" s="602" customFormat="1" ht="12.75">
      <c r="A38" s="643">
        <v>5500</v>
      </c>
      <c r="B38" s="557" t="s">
        <v>168</v>
      </c>
      <c r="C38" s="625">
        <v>0</v>
      </c>
      <c r="D38" s="626">
        <v>0</v>
      </c>
      <c r="E38" s="625">
        <v>110</v>
      </c>
      <c r="F38" s="626">
        <v>1</v>
      </c>
      <c r="G38" s="625">
        <f t="shared" si="0"/>
        <v>110</v>
      </c>
      <c r="H38" s="627">
        <f t="shared" si="0"/>
        <v>1</v>
      </c>
    </row>
    <row r="39" spans="1:8" s="602" customFormat="1" ht="12.75">
      <c r="A39" s="643">
        <v>5600</v>
      </c>
      <c r="B39" s="588" t="s">
        <v>384</v>
      </c>
      <c r="C39" s="629">
        <v>0</v>
      </c>
      <c r="D39" s="630">
        <v>0</v>
      </c>
      <c r="E39" s="629">
        <v>120</v>
      </c>
      <c r="F39" s="630">
        <v>2</v>
      </c>
      <c r="G39" s="629">
        <f t="shared" si="0"/>
        <v>120</v>
      </c>
      <c r="H39" s="631">
        <f t="shared" si="0"/>
        <v>2</v>
      </c>
    </row>
    <row r="40" spans="1:8" s="602" customFormat="1" ht="12.75" customHeight="1" thickBot="1">
      <c r="A40" s="632"/>
      <c r="B40" s="644" t="s">
        <v>385</v>
      </c>
      <c r="C40" s="633">
        <v>22504</v>
      </c>
      <c r="D40" s="634"/>
      <c r="E40" s="633">
        <v>8596</v>
      </c>
      <c r="F40" s="634"/>
      <c r="G40" s="629">
        <f>C40+E40</f>
        <v>31100</v>
      </c>
      <c r="H40" s="635">
        <f>D40+F40</f>
        <v>0</v>
      </c>
    </row>
    <row r="41" spans="1:8" s="602" customFormat="1" ht="13.5" thickBot="1">
      <c r="A41" s="636"/>
      <c r="B41" s="637" t="s">
        <v>71</v>
      </c>
      <c r="C41" s="638">
        <f aca="true" t="shared" si="1" ref="C41:H41">SUM(C14:C40)</f>
        <v>184331</v>
      </c>
      <c r="D41" s="639">
        <f t="shared" si="1"/>
        <v>111</v>
      </c>
      <c r="E41" s="638">
        <f t="shared" si="1"/>
        <v>103217</v>
      </c>
      <c r="F41" s="618">
        <f t="shared" si="1"/>
        <v>635</v>
      </c>
      <c r="G41" s="640">
        <f t="shared" si="1"/>
        <v>287548</v>
      </c>
      <c r="H41" s="641">
        <f t="shared" si="1"/>
        <v>746</v>
      </c>
    </row>
    <row r="42" spans="2:6" s="602" customFormat="1" ht="12.75">
      <c r="B42" s="601"/>
      <c r="D42" s="603"/>
      <c r="F42" s="603"/>
    </row>
    <row r="43" spans="1:8" s="602" customFormat="1" ht="12.75" customHeight="1">
      <c r="A43" s="1006" t="str">
        <f>"*) NIV UK zahrnuje i dotaci pro Agenturu Rady VŠ na činnost FRVŠ ve výši "&amp;-C5&amp;" tis. Kč (1,8 % ukazatele G= "&amp;G41&amp;" tis. Kč) "</f>
        <v>*) NIV UK zahrnuje i dotaci pro Agenturu Rady VŠ na činnost FRVŠ ve výši 5175 tis. Kč (1,8 % ukazatele G= 287548 tis. Kč) </v>
      </c>
      <c r="B43" s="1006"/>
      <c r="C43" s="1006"/>
      <c r="D43" s="1006"/>
      <c r="E43" s="1006"/>
      <c r="F43" s="1006"/>
      <c r="G43" s="603"/>
      <c r="H43" s="603"/>
    </row>
    <row r="44" spans="1:8" s="602" customFormat="1" ht="12.75">
      <c r="A44" s="1006"/>
      <c r="B44" s="1006"/>
      <c r="C44" s="1006"/>
      <c r="D44" s="1006"/>
      <c r="E44" s="1006"/>
      <c r="F44" s="1006"/>
      <c r="G44" s="603"/>
      <c r="H44" s="603"/>
    </row>
    <row r="45" spans="3:7" s="602" customFormat="1" ht="12.75">
      <c r="C45" s="601"/>
      <c r="E45" s="603"/>
      <c r="G45" s="603"/>
    </row>
    <row r="46" spans="3:7" s="602" customFormat="1" ht="12.75">
      <c r="C46" s="601"/>
      <c r="E46" s="603"/>
      <c r="G46" s="603"/>
    </row>
  </sheetData>
  <sheetProtection/>
  <mergeCells count="1">
    <mergeCell ref="A43:F44"/>
  </mergeCells>
  <printOptions horizontalCentered="1"/>
  <pageMargins left="0.5118110236220472" right="0.5511811023622047" top="0.7874015748031497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4:J39"/>
  <sheetViews>
    <sheetView zoomScale="84" zoomScaleNormal="84" zoomScalePageLayoutView="0" workbookViewId="0" topLeftCell="A1">
      <selection activeCell="O14" sqref="O14"/>
    </sheetView>
  </sheetViews>
  <sheetFormatPr defaultColWidth="9.140625" defaultRowHeight="15"/>
  <cols>
    <col min="1" max="1" width="10.28125" style="375" customWidth="1"/>
    <col min="2" max="2" width="10.57421875" style="375" customWidth="1"/>
    <col min="3" max="3" width="10.00390625" style="375" customWidth="1"/>
    <col min="4" max="4" width="9.8515625" style="375" customWidth="1"/>
    <col min="5" max="5" width="9.421875" style="375" customWidth="1"/>
    <col min="6" max="6" width="10.28125" style="375" customWidth="1"/>
    <col min="7" max="7" width="8.8515625" style="375" customWidth="1"/>
    <col min="8" max="8" width="2.28125" style="375" customWidth="1"/>
    <col min="9" max="9" width="5.421875" style="375" customWidth="1"/>
    <col min="10" max="16384" width="9.140625" style="375" customWidth="1"/>
  </cols>
  <sheetData>
    <row r="4" spans="1:7" ht="39.75" customHeight="1">
      <c r="A4" s="917" t="s">
        <v>395</v>
      </c>
      <c r="B4" s="917"/>
      <c r="C4" s="917"/>
      <c r="D4" s="917"/>
      <c r="E4" s="917"/>
      <c r="F4" s="917"/>
      <c r="G4" s="917"/>
    </row>
    <row r="5" ht="12.75">
      <c r="A5" s="374"/>
    </row>
    <row r="6" spans="1:4" ht="12.75">
      <c r="A6" s="918" t="s">
        <v>291</v>
      </c>
      <c r="B6" s="919"/>
      <c r="C6" s="378">
        <f>C8*0.8</f>
        <v>12382584</v>
      </c>
      <c r="D6" s="377" t="s">
        <v>187</v>
      </c>
    </row>
    <row r="7" spans="1:4" ht="12.75">
      <c r="A7" s="920" t="s">
        <v>290</v>
      </c>
      <c r="B7" s="921"/>
      <c r="C7" s="378">
        <f>C8*0.2</f>
        <v>3095646</v>
      </c>
      <c r="D7" s="377" t="s">
        <v>187</v>
      </c>
    </row>
    <row r="8" spans="1:4" ht="12.75">
      <c r="A8" s="922" t="s">
        <v>71</v>
      </c>
      <c r="B8" s="923"/>
      <c r="C8" s="378">
        <f>F39</f>
        <v>15478230</v>
      </c>
      <c r="D8" s="377" t="s">
        <v>187</v>
      </c>
    </row>
    <row r="10" ht="13.5" thickBot="1"/>
    <row r="11" spans="1:7" s="379" customFormat="1" ht="19.5" customHeight="1">
      <c r="A11" s="905" t="s">
        <v>286</v>
      </c>
      <c r="B11" s="911" t="s">
        <v>285</v>
      </c>
      <c r="C11" s="907" t="s">
        <v>289</v>
      </c>
      <c r="D11" s="913" t="s">
        <v>288</v>
      </c>
      <c r="E11" s="907" t="s">
        <v>287</v>
      </c>
      <c r="F11" s="909" t="s">
        <v>71</v>
      </c>
      <c r="G11" s="915" t="s">
        <v>292</v>
      </c>
    </row>
    <row r="12" spans="1:7" s="380" customFormat="1" ht="39" customHeight="1" thickBot="1">
      <c r="A12" s="906"/>
      <c r="B12" s="912"/>
      <c r="C12" s="908"/>
      <c r="D12" s="914"/>
      <c r="E12" s="908"/>
      <c r="F12" s="910"/>
      <c r="G12" s="916"/>
    </row>
    <row r="13" spans="1:10" ht="12.75" customHeight="1">
      <c r="A13" s="355" t="s">
        <v>80</v>
      </c>
      <c r="B13" s="356">
        <f>'Tab.3_A'!L20</f>
        <v>1771459</v>
      </c>
      <c r="C13" s="357">
        <f aca="true" t="shared" si="0" ref="C13:C38">B13/B$39</f>
        <v>0.14306052759262525</v>
      </c>
      <c r="D13" s="358">
        <f>'Tab.4_K'!BG9</f>
        <v>710850.2222655349</v>
      </c>
      <c r="E13" s="357">
        <f aca="true" t="shared" si="1" ref="E13:E38">D13/D$39</f>
        <v>0.22962904100324616</v>
      </c>
      <c r="F13" s="384">
        <f>B13+D13</f>
        <v>2482309.222265535</v>
      </c>
      <c r="G13" s="359">
        <f>F13/F$39</f>
        <v>0.16037423027474945</v>
      </c>
      <c r="H13" s="381"/>
      <c r="J13" s="376"/>
    </row>
    <row r="14" spans="1:10" ht="12.75" customHeight="1">
      <c r="A14" s="360" t="s">
        <v>81</v>
      </c>
      <c r="B14" s="361">
        <f>'Tab.3_A'!L26</f>
        <v>438883</v>
      </c>
      <c r="C14" s="362">
        <f t="shared" si="0"/>
        <v>0.03544357139026878</v>
      </c>
      <c r="D14" s="363">
        <f>'Tab.4_K'!BG10</f>
        <v>93945.78865604724</v>
      </c>
      <c r="E14" s="362">
        <f t="shared" si="1"/>
        <v>0.03034771697282158</v>
      </c>
      <c r="F14" s="385">
        <f aca="true" t="shared" si="2" ref="F14:F39">B14+D14</f>
        <v>532828.7886560472</v>
      </c>
      <c r="G14" s="364">
        <f aca="true" t="shared" si="3" ref="G14:G38">F14/F$39</f>
        <v>0.03442440050677934</v>
      </c>
      <c r="H14" s="382"/>
      <c r="J14" s="376"/>
    </row>
    <row r="15" spans="1:10" ht="12.75" customHeight="1">
      <c r="A15" s="360" t="s">
        <v>82</v>
      </c>
      <c r="B15" s="361">
        <f>'Tab.3_A'!L32</f>
        <v>359392</v>
      </c>
      <c r="C15" s="362">
        <f t="shared" si="0"/>
        <v>0.029023990469194474</v>
      </c>
      <c r="D15" s="363">
        <f>'Tab.4_K'!BG11</f>
        <v>56512.38776594817</v>
      </c>
      <c r="E15" s="362">
        <f t="shared" si="1"/>
        <v>0.0182554425686749</v>
      </c>
      <c r="F15" s="385">
        <f t="shared" si="2"/>
        <v>415904.3877659482</v>
      </c>
      <c r="G15" s="364">
        <f t="shared" si="3"/>
        <v>0.02687028088909056</v>
      </c>
      <c r="H15" s="382"/>
      <c r="J15" s="376"/>
    </row>
    <row r="16" spans="1:10" ht="12.75" customHeight="1">
      <c r="A16" s="360" t="s">
        <v>83</v>
      </c>
      <c r="B16" s="361">
        <f>'Tab.3_A'!L38</f>
        <v>1364381</v>
      </c>
      <c r="C16" s="362">
        <f t="shared" si="0"/>
        <v>0.11018548309464325</v>
      </c>
      <c r="D16" s="363">
        <f>'Tab.4_K'!BG12</f>
        <v>380140.4439659626</v>
      </c>
      <c r="E16" s="362">
        <f t="shared" si="1"/>
        <v>0.12279842203080153</v>
      </c>
      <c r="F16" s="385">
        <f t="shared" si="2"/>
        <v>1744521.4439659626</v>
      </c>
      <c r="G16" s="364">
        <f t="shared" si="3"/>
        <v>0.1127080708818749</v>
      </c>
      <c r="H16" s="382"/>
      <c r="J16" s="376"/>
    </row>
    <row r="17" spans="1:10" ht="12.75" customHeight="1">
      <c r="A17" s="360" t="s">
        <v>84</v>
      </c>
      <c r="B17" s="361">
        <f>'Tab.3_A'!L44</f>
        <v>769172</v>
      </c>
      <c r="C17" s="362">
        <f t="shared" si="0"/>
        <v>0.06211724467203291</v>
      </c>
      <c r="D17" s="363">
        <f>'Tab.4_K'!BG13</f>
        <v>193881.62157349542</v>
      </c>
      <c r="E17" s="362">
        <f t="shared" si="1"/>
        <v>0.06263042401278938</v>
      </c>
      <c r="F17" s="385">
        <f t="shared" si="2"/>
        <v>963053.6215734954</v>
      </c>
      <c r="G17" s="364">
        <f t="shared" si="3"/>
        <v>0.06221988054018421</v>
      </c>
      <c r="H17" s="382"/>
      <c r="J17" s="376"/>
    </row>
    <row r="18" spans="1:10" ht="12.75" customHeight="1">
      <c r="A18" s="360" t="s">
        <v>85</v>
      </c>
      <c r="B18" s="361">
        <f>'Tab.3_A'!L50</f>
        <v>207016</v>
      </c>
      <c r="C18" s="362">
        <f t="shared" si="0"/>
        <v>0.016718319859570507</v>
      </c>
      <c r="D18" s="363">
        <f>'Tab.4_K'!BG14</f>
        <v>37052.956107592625</v>
      </c>
      <c r="E18" s="362">
        <f t="shared" si="1"/>
        <v>0.011969377670312635</v>
      </c>
      <c r="F18" s="385">
        <f t="shared" si="2"/>
        <v>244068.95610759262</v>
      </c>
      <c r="G18" s="364">
        <f t="shared" si="3"/>
        <v>0.015768531421718933</v>
      </c>
      <c r="H18" s="382"/>
      <c r="J18" s="376"/>
    </row>
    <row r="19" spans="1:10" ht="12.75" customHeight="1">
      <c r="A19" s="360" t="s">
        <v>86</v>
      </c>
      <c r="B19" s="361">
        <f>'Tab.3_A'!L56</f>
        <v>336799</v>
      </c>
      <c r="C19" s="362">
        <f t="shared" si="0"/>
        <v>0.02719941168983792</v>
      </c>
      <c r="D19" s="363">
        <f>'Tab.4_K'!BG15</f>
        <v>70695.26328669864</v>
      </c>
      <c r="E19" s="362">
        <f t="shared" si="1"/>
        <v>0.022836998573705986</v>
      </c>
      <c r="F19" s="385">
        <f t="shared" si="2"/>
        <v>407494.2632866986</v>
      </c>
      <c r="G19" s="364">
        <f t="shared" si="3"/>
        <v>0.02632692906661153</v>
      </c>
      <c r="H19" s="382"/>
      <c r="J19" s="376"/>
    </row>
    <row r="20" spans="1:10" ht="12.75" customHeight="1">
      <c r="A20" s="360" t="s">
        <v>87</v>
      </c>
      <c r="B20" s="361">
        <f>'Tab.3_A'!L62</f>
        <v>244215</v>
      </c>
      <c r="C20" s="362">
        <f t="shared" si="0"/>
        <v>0.019722458575689855</v>
      </c>
      <c r="D20" s="363">
        <f>'Tab.4_K'!BG16</f>
        <v>46002.55758535193</v>
      </c>
      <c r="E20" s="362">
        <f t="shared" si="1"/>
        <v>0.014860406385404512</v>
      </c>
      <c r="F20" s="385">
        <f t="shared" si="2"/>
        <v>290217.5575853519</v>
      </c>
      <c r="G20" s="364">
        <f t="shared" si="3"/>
        <v>0.018750048137632785</v>
      </c>
      <c r="H20" s="382"/>
      <c r="J20" s="376"/>
    </row>
    <row r="21" spans="1:10" ht="12.75" customHeight="1">
      <c r="A21" s="360" t="s">
        <v>88</v>
      </c>
      <c r="B21" s="361">
        <f>'Tab.3_A'!L68</f>
        <v>234860</v>
      </c>
      <c r="C21" s="362">
        <f t="shared" si="0"/>
        <v>0.018966961984671373</v>
      </c>
      <c r="D21" s="363">
        <f>'Tab.4_K'!BG17</f>
        <v>35894.38929727653</v>
      </c>
      <c r="E21" s="362">
        <f t="shared" si="1"/>
        <v>0.011595120791355515</v>
      </c>
      <c r="F21" s="385">
        <f t="shared" si="2"/>
        <v>270754.3892972765</v>
      </c>
      <c r="G21" s="364">
        <f t="shared" si="3"/>
        <v>0.0174925937460082</v>
      </c>
      <c r="H21" s="382"/>
      <c r="J21" s="376"/>
    </row>
    <row r="22" spans="1:10" ht="12.75" customHeight="1">
      <c r="A22" s="360" t="s">
        <v>89</v>
      </c>
      <c r="B22" s="361">
        <f>'Tab.3_A'!L74</f>
        <v>959301</v>
      </c>
      <c r="C22" s="362">
        <f t="shared" si="0"/>
        <v>0.07747179425554472</v>
      </c>
      <c r="D22" s="363">
        <f>'Tab.4_K'!BG18</f>
        <v>298050.27334492246</v>
      </c>
      <c r="E22" s="362">
        <f t="shared" si="1"/>
        <v>0.09628047694888965</v>
      </c>
      <c r="F22" s="385">
        <f t="shared" si="2"/>
        <v>1257351.2733449223</v>
      </c>
      <c r="G22" s="364">
        <f t="shared" si="3"/>
        <v>0.0812335307942137</v>
      </c>
      <c r="H22" s="382"/>
      <c r="J22" s="376"/>
    </row>
    <row r="23" spans="1:10" ht="12.75" customHeight="1">
      <c r="A23" s="360" t="s">
        <v>90</v>
      </c>
      <c r="B23" s="361">
        <f>'Tab.3_A'!L80</f>
        <v>221131</v>
      </c>
      <c r="C23" s="362">
        <f t="shared" si="0"/>
        <v>0.017858227329610687</v>
      </c>
      <c r="D23" s="363">
        <f>'Tab.4_K'!BG19</f>
        <v>77199.25876746366</v>
      </c>
      <c r="E23" s="362">
        <f t="shared" si="1"/>
        <v>0.02493801254002029</v>
      </c>
      <c r="F23" s="385">
        <f t="shared" si="2"/>
        <v>298330.2587674637</v>
      </c>
      <c r="G23" s="364">
        <f t="shared" si="3"/>
        <v>0.019274184371692607</v>
      </c>
      <c r="H23" s="382"/>
      <c r="J23" s="376"/>
    </row>
    <row r="24" spans="1:10" ht="12.75" customHeight="1">
      <c r="A24" s="360" t="s">
        <v>91</v>
      </c>
      <c r="B24" s="361">
        <f>'Tab.3_A'!L86</f>
        <v>519306</v>
      </c>
      <c r="C24" s="362">
        <f t="shared" si="0"/>
        <v>0.04193841931538684</v>
      </c>
      <c r="D24" s="363">
        <f>'Tab.4_K'!BG20</f>
        <v>115972.07381190696</v>
      </c>
      <c r="E24" s="362">
        <f t="shared" si="1"/>
        <v>0.03746296372773468</v>
      </c>
      <c r="F24" s="385">
        <f t="shared" si="2"/>
        <v>635278.073811907</v>
      </c>
      <c r="G24" s="364">
        <f t="shared" si="3"/>
        <v>0.04104332819785641</v>
      </c>
      <c r="H24" s="382"/>
      <c r="J24" s="376"/>
    </row>
    <row r="25" spans="1:10" ht="12.75" customHeight="1">
      <c r="A25" s="360" t="s">
        <v>92</v>
      </c>
      <c r="B25" s="361">
        <f>'Tab.3_A'!L92</f>
        <v>299179</v>
      </c>
      <c r="C25" s="362">
        <f t="shared" si="0"/>
        <v>0.02416127360815804</v>
      </c>
      <c r="D25" s="363">
        <f>'Tab.4_K'!BG21</f>
        <v>64176.61851662367</v>
      </c>
      <c r="E25" s="362">
        <f t="shared" si="1"/>
        <v>0.020731252383710434</v>
      </c>
      <c r="F25" s="385">
        <f t="shared" si="2"/>
        <v>363355.6185166237</v>
      </c>
      <c r="G25" s="364">
        <f t="shared" si="3"/>
        <v>0.02347526936326852</v>
      </c>
      <c r="H25" s="382"/>
      <c r="J25" s="376"/>
    </row>
    <row r="26" spans="1:10" ht="12.75" customHeight="1">
      <c r="A26" s="360" t="s">
        <v>93</v>
      </c>
      <c r="B26" s="361">
        <f>'Tab.3_A'!L98</f>
        <v>385972</v>
      </c>
      <c r="C26" s="362">
        <f t="shared" si="0"/>
        <v>0.031170553739025716</v>
      </c>
      <c r="D26" s="363">
        <f>'Tab.4_K'!BG22</f>
        <v>76005.4205954723</v>
      </c>
      <c r="E26" s="362">
        <f t="shared" si="1"/>
        <v>0.024552361799596047</v>
      </c>
      <c r="F26" s="385">
        <f t="shared" si="2"/>
        <v>461977.42059547233</v>
      </c>
      <c r="G26" s="364">
        <f t="shared" si="3"/>
        <v>0.029846915351139782</v>
      </c>
      <c r="H26" s="382"/>
      <c r="J26" s="376"/>
    </row>
    <row r="27" spans="1:10" ht="12.75" customHeight="1">
      <c r="A27" s="360" t="s">
        <v>94</v>
      </c>
      <c r="B27" s="361">
        <f>'Tab.3_A'!L104</f>
        <v>841307</v>
      </c>
      <c r="C27" s="362">
        <f t="shared" si="0"/>
        <v>0.06794276541956025</v>
      </c>
      <c r="D27" s="363">
        <f>'Tab.4_K'!BG23</f>
        <v>221714.9548649006</v>
      </c>
      <c r="E27" s="362">
        <f t="shared" si="1"/>
        <v>0.07162154679989269</v>
      </c>
      <c r="F27" s="385">
        <f t="shared" si="2"/>
        <v>1063021.9548649006</v>
      </c>
      <c r="G27" s="364">
        <f t="shared" si="3"/>
        <v>0.06867852169562673</v>
      </c>
      <c r="H27" s="382"/>
      <c r="J27" s="376"/>
    </row>
    <row r="28" spans="1:10" ht="12.75" customHeight="1">
      <c r="A28" s="360" t="s">
        <v>95</v>
      </c>
      <c r="B28" s="361">
        <f>'Tab.3_A'!L110</f>
        <v>752677</v>
      </c>
      <c r="C28" s="362">
        <f t="shared" si="0"/>
        <v>0.06078513176248189</v>
      </c>
      <c r="D28" s="363">
        <f>'Tab.4_K'!BG24</f>
        <v>116887.03760873075</v>
      </c>
      <c r="E28" s="362">
        <f t="shared" si="1"/>
        <v>0.037758528465054064</v>
      </c>
      <c r="F28" s="385">
        <f t="shared" si="2"/>
        <v>869564.0376087307</v>
      </c>
      <c r="G28" s="364">
        <f t="shared" si="3"/>
        <v>0.05617981110299632</v>
      </c>
      <c r="H28" s="382"/>
      <c r="J28" s="376"/>
    </row>
    <row r="29" spans="1:10" ht="12.75" customHeight="1">
      <c r="A29" s="360" t="s">
        <v>96</v>
      </c>
      <c r="B29" s="361">
        <f>'Tab.3_A'!L116</f>
        <v>477636</v>
      </c>
      <c r="C29" s="362">
        <f t="shared" si="0"/>
        <v>0.03857320895218639</v>
      </c>
      <c r="D29" s="363">
        <f>'Tab.4_K'!BG25</f>
        <v>79120.54901957772</v>
      </c>
      <c r="E29" s="362">
        <f t="shared" si="1"/>
        <v>0.02555865529184465</v>
      </c>
      <c r="F29" s="385">
        <f t="shared" si="2"/>
        <v>556756.5490195777</v>
      </c>
      <c r="G29" s="364">
        <f t="shared" si="3"/>
        <v>0.03597029822011804</v>
      </c>
      <c r="H29" s="382"/>
      <c r="J29" s="376"/>
    </row>
    <row r="30" spans="1:10" ht="12.75" customHeight="1">
      <c r="A30" s="360" t="s">
        <v>97</v>
      </c>
      <c r="B30" s="361">
        <f>'Tab.3_A'!L122</f>
        <v>464509</v>
      </c>
      <c r="C30" s="362">
        <f t="shared" si="0"/>
        <v>0.037513090967119626</v>
      </c>
      <c r="D30" s="363">
        <f>'Tab.4_K'!BG26</f>
        <v>105980.02496712719</v>
      </c>
      <c r="E30" s="362">
        <f t="shared" si="1"/>
        <v>0.034235188702819115</v>
      </c>
      <c r="F30" s="385">
        <f t="shared" si="2"/>
        <v>570489.0249671272</v>
      </c>
      <c r="G30" s="364">
        <f t="shared" si="3"/>
        <v>0.03685751051425953</v>
      </c>
      <c r="H30" s="382"/>
      <c r="J30" s="376"/>
    </row>
    <row r="31" spans="1:10" ht="12.75" customHeight="1">
      <c r="A31" s="360" t="s">
        <v>98</v>
      </c>
      <c r="B31" s="361">
        <f>'Tab.3_A'!L128</f>
        <v>749416</v>
      </c>
      <c r="C31" s="362">
        <f t="shared" si="0"/>
        <v>0.06052177800691681</v>
      </c>
      <c r="D31" s="363">
        <f>'Tab.4_K'!BG27</f>
        <v>123903.53831518358</v>
      </c>
      <c r="E31" s="362">
        <f t="shared" si="1"/>
        <v>0.040025099224906074</v>
      </c>
      <c r="F31" s="385">
        <f t="shared" si="2"/>
        <v>873319.5383151836</v>
      </c>
      <c r="G31" s="364">
        <f t="shared" si="3"/>
        <v>0.05642244225051467</v>
      </c>
      <c r="H31" s="382"/>
      <c r="J31" s="376"/>
    </row>
    <row r="32" spans="1:10" ht="12.75" customHeight="1">
      <c r="A32" s="360" t="s">
        <v>99</v>
      </c>
      <c r="B32" s="361">
        <f>'Tab.3_A'!L134</f>
        <v>430838</v>
      </c>
      <c r="C32" s="362">
        <f t="shared" si="0"/>
        <v>0.0347938685495693</v>
      </c>
      <c r="D32" s="363">
        <f>'Tab.4_K'!BG28</f>
        <v>81930.9628642111</v>
      </c>
      <c r="E32" s="362">
        <f t="shared" si="1"/>
        <v>0.02646651550733227</v>
      </c>
      <c r="F32" s="385">
        <f t="shared" si="2"/>
        <v>512768.9628642111</v>
      </c>
      <c r="G32" s="364">
        <f t="shared" si="3"/>
        <v>0.03312839794112189</v>
      </c>
      <c r="H32" s="382"/>
      <c r="J32" s="376"/>
    </row>
    <row r="33" spans="1:10" ht="12.75" customHeight="1">
      <c r="A33" s="360" t="s">
        <v>100</v>
      </c>
      <c r="B33" s="361">
        <f>'Tab.3_A'!L140</f>
        <v>179619</v>
      </c>
      <c r="C33" s="362">
        <f t="shared" si="0"/>
        <v>0.014505776823318946</v>
      </c>
      <c r="D33" s="363">
        <f>'Tab.4_K'!BG29</f>
        <v>45759.48335202043</v>
      </c>
      <c r="E33" s="362">
        <f t="shared" si="1"/>
        <v>0.014781885057923428</v>
      </c>
      <c r="F33" s="385">
        <f t="shared" si="2"/>
        <v>225378.48335202044</v>
      </c>
      <c r="G33" s="364">
        <f t="shared" si="3"/>
        <v>0.014560998470239842</v>
      </c>
      <c r="H33" s="382"/>
      <c r="J33" s="376"/>
    </row>
    <row r="34" spans="1:10" ht="12.75" customHeight="1">
      <c r="A34" s="360" t="s">
        <v>101</v>
      </c>
      <c r="B34" s="361">
        <f>'Tab.3_A'!L146</f>
        <v>46165</v>
      </c>
      <c r="C34" s="362">
        <f t="shared" si="0"/>
        <v>0.003728220216394252</v>
      </c>
      <c r="D34" s="363">
        <f>'Tab.4_K'!BG30</f>
        <v>12342.417939901758</v>
      </c>
      <c r="E34" s="362">
        <f t="shared" si="1"/>
        <v>0.0039870249827989885</v>
      </c>
      <c r="F34" s="385">
        <f t="shared" si="2"/>
        <v>58507.41793990176</v>
      </c>
      <c r="G34" s="364">
        <f t="shared" si="3"/>
        <v>0.003779981169675199</v>
      </c>
      <c r="H34" s="382"/>
      <c r="J34" s="376"/>
    </row>
    <row r="35" spans="1:10" ht="12.75" customHeight="1">
      <c r="A35" s="360" t="s">
        <v>102</v>
      </c>
      <c r="B35" s="361">
        <f>'Tab.3_A'!L152</f>
        <v>59485</v>
      </c>
      <c r="C35" s="362">
        <f t="shared" si="0"/>
        <v>0.004803924608950765</v>
      </c>
      <c r="D35" s="363">
        <f>'Tab.4_K'!BG31</f>
        <v>17333.937302574373</v>
      </c>
      <c r="E35" s="362">
        <f t="shared" si="1"/>
        <v>0.005599457206209745</v>
      </c>
      <c r="F35" s="385">
        <f t="shared" si="2"/>
        <v>76818.93730257437</v>
      </c>
      <c r="G35" s="364">
        <f t="shared" si="3"/>
        <v>0.004963031128402561</v>
      </c>
      <c r="H35" s="382"/>
      <c r="J35" s="376"/>
    </row>
    <row r="36" spans="1:10" ht="12.75" customHeight="1">
      <c r="A36" s="360" t="s">
        <v>103</v>
      </c>
      <c r="B36" s="361">
        <f>'Tab.3_A'!L158</f>
        <v>98475</v>
      </c>
      <c r="C36" s="362">
        <f t="shared" si="0"/>
        <v>0.00795270195623143</v>
      </c>
      <c r="D36" s="363">
        <f>'Tab.4_K'!BG32</f>
        <v>24971.275314853578</v>
      </c>
      <c r="E36" s="362">
        <f t="shared" si="1"/>
        <v>0.008066579742920727</v>
      </c>
      <c r="F36" s="385">
        <f t="shared" si="2"/>
        <v>123446.27531485358</v>
      </c>
      <c r="G36" s="364">
        <f t="shared" si="3"/>
        <v>0.00797547751356929</v>
      </c>
      <c r="H36" s="382"/>
      <c r="J36" s="376"/>
    </row>
    <row r="37" spans="1:10" ht="12.75" customHeight="1">
      <c r="A37" s="360" t="s">
        <v>104</v>
      </c>
      <c r="B37" s="361">
        <f>'Tab.3_A'!L164</f>
        <v>86196</v>
      </c>
      <c r="C37" s="362">
        <f t="shared" si="0"/>
        <v>0.006961067253813905</v>
      </c>
      <c r="D37" s="363">
        <f>'Tab.4_K'!BG33</f>
        <v>7538.777898251241</v>
      </c>
      <c r="E37" s="362">
        <f t="shared" si="1"/>
        <v>0.002435284234131177</v>
      </c>
      <c r="F37" s="385">
        <f t="shared" si="2"/>
        <v>93734.77789825124</v>
      </c>
      <c r="G37" s="364">
        <f t="shared" si="3"/>
        <v>0.00605591064987736</v>
      </c>
      <c r="H37" s="382"/>
      <c r="J37" s="376"/>
    </row>
    <row r="38" spans="1:10" ht="12.75" customHeight="1" thickBot="1">
      <c r="A38" s="365" t="s">
        <v>105</v>
      </c>
      <c r="B38" s="366">
        <f>'Tab.3_A'!L170</f>
        <v>85195</v>
      </c>
      <c r="C38" s="367">
        <f t="shared" si="0"/>
        <v>0.006880227907196107</v>
      </c>
      <c r="D38" s="368">
        <f>'Tab.4_K'!BG34</f>
        <v>1783.7650123710068</v>
      </c>
      <c r="E38" s="367">
        <f t="shared" si="1"/>
        <v>0.0005762173751039385</v>
      </c>
      <c r="F38" s="386">
        <f t="shared" si="2"/>
        <v>86978.765012371</v>
      </c>
      <c r="G38" s="369">
        <f t="shared" si="3"/>
        <v>0.005619425800777673</v>
      </c>
      <c r="H38" s="382"/>
      <c r="J38" s="376"/>
    </row>
    <row r="39" spans="1:7" ht="12.75" customHeight="1" thickBot="1">
      <c r="A39" s="383"/>
      <c r="B39" s="370">
        <f>SUM(B13:B38)</f>
        <v>12382584</v>
      </c>
      <c r="C39" s="371"/>
      <c r="D39" s="372">
        <f>SUM(D13:D38)</f>
        <v>3095646</v>
      </c>
      <c r="E39" s="371"/>
      <c r="F39" s="387">
        <f t="shared" si="2"/>
        <v>15478230</v>
      </c>
      <c r="G39" s="373">
        <f>F39/F$39</f>
        <v>1</v>
      </c>
    </row>
  </sheetData>
  <sheetProtection/>
  <mergeCells count="11">
    <mergeCell ref="G11:G12"/>
    <mergeCell ref="A4:G4"/>
    <mergeCell ref="A6:B6"/>
    <mergeCell ref="A7:B7"/>
    <mergeCell ref="A8:B8"/>
    <mergeCell ref="A11:A12"/>
    <mergeCell ref="C11:C12"/>
    <mergeCell ref="E11:E12"/>
    <mergeCell ref="F11:F12"/>
    <mergeCell ref="B11:B12"/>
    <mergeCell ref="D11:D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ignoredErrors>
    <ignoredError sqref="D13:D15 D16:D38 F13:F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6"/>
  <sheetViews>
    <sheetView zoomScale="70" zoomScaleNormal="70" zoomScaleSheetLayoutView="70" zoomScalePageLayoutView="0" workbookViewId="0" topLeftCell="A1">
      <selection activeCell="A9" sqref="A9"/>
    </sheetView>
  </sheetViews>
  <sheetFormatPr defaultColWidth="9.140625" defaultRowHeight="15"/>
  <cols>
    <col min="1" max="1" width="22.57421875" style="75" customWidth="1"/>
    <col min="2" max="2" width="15.00390625" style="75" customWidth="1"/>
    <col min="3" max="3" width="18.140625" style="74" customWidth="1"/>
    <col min="4" max="4" width="24.140625" style="75" customWidth="1"/>
    <col min="5" max="6" width="16.00390625" style="75" customWidth="1"/>
    <col min="7" max="7" width="16.57421875" style="75" customWidth="1"/>
    <col min="8" max="8" width="15.28125" style="75" customWidth="1"/>
    <col min="9" max="9" width="15.28125" style="76" customWidth="1"/>
    <col min="10" max="10" width="16.140625" style="75" customWidth="1"/>
    <col min="11" max="11" width="15.57421875" style="75" customWidth="1"/>
    <col min="12" max="12" width="13.7109375" style="77" customWidth="1"/>
    <col min="13" max="13" width="12.7109375" style="75" customWidth="1"/>
    <col min="14" max="14" width="14.00390625" style="79" customWidth="1"/>
    <col min="15" max="15" width="10.421875" style="70" bestFit="1" customWidth="1"/>
    <col min="16" max="16" width="9.140625" style="70" customWidth="1"/>
    <col min="17" max="16384" width="9.140625" style="75" customWidth="1"/>
  </cols>
  <sheetData>
    <row r="1" spans="1:16" s="71" customFormat="1" ht="32.25" customHeight="1">
      <c r="A1" s="68" t="s">
        <v>194</v>
      </c>
      <c r="B1" s="69"/>
      <c r="C1" s="232"/>
      <c r="D1" s="69"/>
      <c r="E1" s="70"/>
      <c r="O1" s="70"/>
      <c r="P1" s="70"/>
    </row>
    <row r="2" spans="1:5" ht="21" customHeight="1">
      <c r="A2" s="72" t="s">
        <v>1</v>
      </c>
      <c r="B2" s="73" t="s">
        <v>195</v>
      </c>
      <c r="D2" s="74"/>
      <c r="E2" s="70"/>
    </row>
    <row r="3" spans="1:5" ht="15.75" customHeight="1">
      <c r="A3" s="924" t="s">
        <v>196</v>
      </c>
      <c r="B3" s="924"/>
      <c r="D3" s="74"/>
      <c r="E3" s="70"/>
    </row>
    <row r="4" spans="1:14" ht="13.5" customHeight="1">
      <c r="A4" s="78" t="s">
        <v>197</v>
      </c>
      <c r="B4" s="75" t="s">
        <v>198</v>
      </c>
      <c r="D4" s="74"/>
      <c r="E4" s="925" t="s">
        <v>199</v>
      </c>
      <c r="F4" s="925"/>
      <c r="G4" s="925"/>
      <c r="H4" s="925"/>
      <c r="I4" s="925"/>
      <c r="J4" s="925"/>
      <c r="K4" s="925"/>
      <c r="L4" s="925"/>
      <c r="M4" s="925"/>
      <c r="N4" s="925"/>
    </row>
    <row r="5" spans="1:14" ht="13.5" customHeight="1">
      <c r="A5" s="78" t="s">
        <v>200</v>
      </c>
      <c r="B5" s="75" t="s">
        <v>201</v>
      </c>
      <c r="D5" s="74"/>
      <c r="E5" s="925"/>
      <c r="F5" s="925"/>
      <c r="G5" s="925"/>
      <c r="H5" s="925"/>
      <c r="I5" s="925"/>
      <c r="J5" s="925"/>
      <c r="K5" s="925"/>
      <c r="L5" s="925"/>
      <c r="M5" s="925"/>
      <c r="N5" s="925"/>
    </row>
    <row r="6" spans="1:13" ht="12.75" customHeight="1">
      <c r="A6" s="78" t="s">
        <v>202</v>
      </c>
      <c r="B6" s="75" t="s">
        <v>203</v>
      </c>
      <c r="D6" s="74"/>
      <c r="E6" s="558"/>
      <c r="F6" s="558"/>
      <c r="G6" s="558"/>
      <c r="H6" s="558"/>
      <c r="I6" s="558"/>
      <c r="J6" s="558"/>
      <c r="K6" s="558"/>
      <c r="L6" s="558"/>
      <c r="M6" s="558"/>
    </row>
    <row r="7" spans="1:12" ht="12.75" customHeight="1">
      <c r="A7" s="78" t="s">
        <v>204</v>
      </c>
      <c r="B7" s="75" t="s">
        <v>205</v>
      </c>
      <c r="D7" s="74"/>
      <c r="E7" s="546" t="s">
        <v>350</v>
      </c>
      <c r="G7" s="558"/>
      <c r="H7" s="558"/>
      <c r="I7" s="558"/>
      <c r="J7" s="558"/>
      <c r="K7" s="558"/>
      <c r="L7" s="558"/>
    </row>
    <row r="8" spans="1:5" ht="15">
      <c r="A8" s="78" t="s">
        <v>206</v>
      </c>
      <c r="B8" s="75" t="s">
        <v>207</v>
      </c>
      <c r="D8" s="74"/>
      <c r="E8" s="546" t="s">
        <v>351</v>
      </c>
    </row>
    <row r="9" spans="1:12" ht="15">
      <c r="A9" s="70"/>
      <c r="B9" s="70"/>
      <c r="C9" s="233"/>
      <c r="D9" s="70"/>
      <c r="E9" s="546" t="s">
        <v>352</v>
      </c>
      <c r="G9" s="70"/>
      <c r="H9" s="70"/>
      <c r="I9" s="70"/>
      <c r="J9" s="70"/>
      <c r="K9" s="70"/>
      <c r="L9" s="70"/>
    </row>
    <row r="10" spans="1:12" ht="15">
      <c r="A10" s="70"/>
      <c r="B10" s="70"/>
      <c r="C10" s="233"/>
      <c r="D10" s="70"/>
      <c r="E10" s="546" t="s">
        <v>353</v>
      </c>
      <c r="G10" s="70"/>
      <c r="H10" s="70"/>
      <c r="I10" s="70"/>
      <c r="J10" s="70"/>
      <c r="K10" s="70"/>
      <c r="L10" s="70"/>
    </row>
    <row r="11" ht="18" customHeight="1" thickBot="1"/>
    <row r="12" spans="1:16" s="92" customFormat="1" ht="76.5" customHeight="1" thickTop="1">
      <c r="A12" s="80" t="s">
        <v>176</v>
      </c>
      <c r="B12" s="81" t="s">
        <v>208</v>
      </c>
      <c r="C12" s="234" t="s">
        <v>209</v>
      </c>
      <c r="D12" s="82" t="s">
        <v>210</v>
      </c>
      <c r="E12" s="83" t="s">
        <v>211</v>
      </c>
      <c r="F12" s="84" t="s">
        <v>212</v>
      </c>
      <c r="G12" s="85" t="s">
        <v>213</v>
      </c>
      <c r="H12" s="86" t="s">
        <v>214</v>
      </c>
      <c r="I12" s="87" t="s">
        <v>215</v>
      </c>
      <c r="J12" s="86" t="s">
        <v>216</v>
      </c>
      <c r="K12" s="88" t="s">
        <v>217</v>
      </c>
      <c r="L12" s="89" t="s">
        <v>218</v>
      </c>
      <c r="M12" s="90" t="s">
        <v>219</v>
      </c>
      <c r="N12" s="91" t="s">
        <v>220</v>
      </c>
      <c r="O12" s="70"/>
      <c r="P12" s="70"/>
    </row>
    <row r="13" spans="1:16" s="77" customFormat="1" ht="12.75">
      <c r="A13" s="93">
        <v>1</v>
      </c>
      <c r="B13" s="94">
        <v>2</v>
      </c>
      <c r="C13" s="235">
        <v>3</v>
      </c>
      <c r="D13" s="95">
        <v>4</v>
      </c>
      <c r="E13" s="96">
        <v>5</v>
      </c>
      <c r="F13" s="93">
        <v>6</v>
      </c>
      <c r="G13" s="97">
        <v>7</v>
      </c>
      <c r="H13" s="93">
        <v>8</v>
      </c>
      <c r="I13" s="98">
        <v>9</v>
      </c>
      <c r="J13" s="93">
        <v>10</v>
      </c>
      <c r="K13" s="99">
        <v>11</v>
      </c>
      <c r="L13" s="96">
        <v>12</v>
      </c>
      <c r="M13" s="100">
        <v>13</v>
      </c>
      <c r="N13" s="101">
        <v>14</v>
      </c>
      <c r="O13" s="70"/>
      <c r="P13" s="70"/>
    </row>
    <row r="14" spans="1:14" s="70" customFormat="1" ht="3" customHeight="1">
      <c r="A14" s="102"/>
      <c r="B14" s="103"/>
      <c r="C14" s="236"/>
      <c r="D14" s="104"/>
      <c r="E14" s="105"/>
      <c r="F14" s="102"/>
      <c r="G14" s="106"/>
      <c r="H14" s="102"/>
      <c r="I14" s="107"/>
      <c r="J14" s="102"/>
      <c r="K14" s="108"/>
      <c r="L14" s="105"/>
      <c r="M14" s="109"/>
      <c r="N14" s="110"/>
    </row>
    <row r="15" spans="1:14" s="70" customFormat="1" ht="12.75" customHeight="1">
      <c r="A15" s="111" t="s">
        <v>221</v>
      </c>
      <c r="B15" s="112" t="s">
        <v>222</v>
      </c>
      <c r="C15" s="237">
        <v>6658</v>
      </c>
      <c r="D15" s="113">
        <v>7172.02338429824</v>
      </c>
      <c r="E15" s="114">
        <f>IF(C15&gt;=0.9*D15,D15,C15+0.1*D15)</f>
        <v>7172.02338429824</v>
      </c>
      <c r="F15" s="115"/>
      <c r="G15" s="116">
        <f>E15+F15</f>
        <v>7172.02338429824</v>
      </c>
      <c r="H15" s="117">
        <v>1.455045058576149</v>
      </c>
      <c r="I15" s="115">
        <f>E15*H15</f>
        <v>10435.617185315743</v>
      </c>
      <c r="J15" s="118"/>
      <c r="K15" s="119">
        <f>I15+J15</f>
        <v>10435.617185315743</v>
      </c>
      <c r="L15" s="120"/>
      <c r="M15" s="121">
        <f>IF(D15&gt;C15,C15-D15,0)</f>
        <v>-514.0233842982398</v>
      </c>
      <c r="N15" s="122">
        <f>IF(D15&lt;C15,C15-D15,0)</f>
        <v>0</v>
      </c>
    </row>
    <row r="16" spans="1:14" s="70" customFormat="1" ht="12.75" customHeight="1">
      <c r="A16" s="111" t="s">
        <v>221</v>
      </c>
      <c r="B16" s="112" t="s">
        <v>223</v>
      </c>
      <c r="C16" s="237">
        <v>2541.5</v>
      </c>
      <c r="D16" s="113">
        <v>2524.7317723497113</v>
      </c>
      <c r="E16" s="114">
        <f>IF(C16&gt;=0.9*D16,D16,C16+0.1*D16)</f>
        <v>2524.7317723497113</v>
      </c>
      <c r="F16" s="565">
        <f>L205</f>
        <v>168</v>
      </c>
      <c r="G16" s="116">
        <f>E16+F16</f>
        <v>2692.7317723497113</v>
      </c>
      <c r="H16" s="117">
        <v>2.121790281329923</v>
      </c>
      <c r="I16" s="115">
        <f>E16*H16</f>
        <v>5356.9513375364895</v>
      </c>
      <c r="J16" s="118">
        <f>N205</f>
        <v>588</v>
      </c>
      <c r="K16" s="119">
        <f>I16+J16</f>
        <v>5944.9513375364895</v>
      </c>
      <c r="L16" s="120"/>
      <c r="M16" s="121">
        <f>IF(D16&gt;C16,C16-D16,0)</f>
        <v>0</v>
      </c>
      <c r="N16" s="122">
        <f>IF(D16&lt;C16,C16-D16,0)</f>
        <v>16.768227650288736</v>
      </c>
    </row>
    <row r="17" spans="1:14" s="70" customFormat="1" ht="12.75" customHeight="1">
      <c r="A17" s="111" t="s">
        <v>221</v>
      </c>
      <c r="B17" s="112" t="s">
        <v>224</v>
      </c>
      <c r="C17" s="237">
        <v>3404.5</v>
      </c>
      <c r="D17" s="113">
        <v>3584.7629187891316</v>
      </c>
      <c r="E17" s="114">
        <f>IF(C17&gt;=0.9*D17,D17,C17+0.1*D17)</f>
        <v>3584.7629187891316</v>
      </c>
      <c r="F17" s="115"/>
      <c r="G17" s="116">
        <f>E17+F17</f>
        <v>3584.7629187891316</v>
      </c>
      <c r="H17" s="117">
        <v>1.4626259362608314</v>
      </c>
      <c r="I17" s="115">
        <f>E17*H17</f>
        <v>5243.167220367064</v>
      </c>
      <c r="J17" s="118"/>
      <c r="K17" s="119">
        <f>I17+J17</f>
        <v>5243.167220367064</v>
      </c>
      <c r="L17" s="120"/>
      <c r="M17" s="121">
        <f>IF(D17&gt;C17,C17-D17,0)</f>
        <v>-180.26291878913162</v>
      </c>
      <c r="N17" s="122">
        <f>IF(D17&lt;C17,C17-D17,0)</f>
        <v>0</v>
      </c>
    </row>
    <row r="18" spans="1:17" ht="12.75" customHeight="1">
      <c r="A18" s="123" t="s">
        <v>221</v>
      </c>
      <c r="B18" s="124" t="s">
        <v>225</v>
      </c>
      <c r="C18" s="238">
        <v>1289.5</v>
      </c>
      <c r="D18" s="125">
        <v>1458.0863684871288</v>
      </c>
      <c r="E18" s="114">
        <f>IF(C18&gt;=0.9*D18,D18,C18+0.1*D18)</f>
        <v>1435.308636848713</v>
      </c>
      <c r="F18" s="126">
        <f>L206</f>
        <v>2</v>
      </c>
      <c r="G18" s="116">
        <f>E18+F18</f>
        <v>1437.308636848713</v>
      </c>
      <c r="H18" s="127">
        <v>1.7532764637456377</v>
      </c>
      <c r="I18" s="115">
        <f>E18*H18</f>
        <v>2516.492851197683</v>
      </c>
      <c r="J18" s="128">
        <f>N203</f>
        <v>5.6</v>
      </c>
      <c r="K18" s="119">
        <f>I18+J18</f>
        <v>2522.092851197683</v>
      </c>
      <c r="L18" s="129"/>
      <c r="M18" s="121">
        <f>IF(D18&gt;C18,C18-D18,0)</f>
        <v>-168.58636848712877</v>
      </c>
      <c r="N18" s="122">
        <f>IF(D18&lt;C18,C18-D18,0)</f>
        <v>0</v>
      </c>
      <c r="O18"/>
      <c r="P18"/>
      <c r="Q18"/>
    </row>
    <row r="19" spans="1:17" s="70" customFormat="1" ht="12.75" customHeight="1" thickBot="1">
      <c r="A19" s="130" t="s">
        <v>221</v>
      </c>
      <c r="B19" s="131" t="s">
        <v>226</v>
      </c>
      <c r="C19" s="237">
        <v>29249.5</v>
      </c>
      <c r="D19" s="113">
        <v>27676.197480380702</v>
      </c>
      <c r="E19" s="114">
        <f>IF(C19&lt;D19,C19,D19)</f>
        <v>27676.197480380702</v>
      </c>
      <c r="F19" s="126">
        <f>L207</f>
        <v>595</v>
      </c>
      <c r="G19" s="116">
        <f>E19+F19</f>
        <v>28271.197480380702</v>
      </c>
      <c r="H19" s="117">
        <v>1.6717482315937027</v>
      </c>
      <c r="I19" s="115">
        <f>E19*H19</f>
        <v>46267.63419506453</v>
      </c>
      <c r="J19" s="132">
        <f>N207</f>
        <v>2076.9</v>
      </c>
      <c r="K19" s="119">
        <f>I19+J19</f>
        <v>48344.53419506453</v>
      </c>
      <c r="L19" s="133"/>
      <c r="M19" s="121">
        <f>IF(D19&gt;C19,C19-D19,0)</f>
        <v>0</v>
      </c>
      <c r="N19" s="122">
        <f>IF(D19&lt;C19,C19-D19,0)</f>
        <v>1573.3025196192975</v>
      </c>
      <c r="O19"/>
      <c r="P19"/>
      <c r="Q19"/>
    </row>
    <row r="20" spans="1:17" s="70" customFormat="1" ht="12.75" customHeight="1" thickBot="1">
      <c r="A20" s="134" t="s">
        <v>221</v>
      </c>
      <c r="B20" s="135" t="s">
        <v>71</v>
      </c>
      <c r="C20" s="239">
        <f>SUM(C15:C19)</f>
        <v>43143</v>
      </c>
      <c r="D20" s="136">
        <f>SUM(D15:D19)</f>
        <v>42415.80192430491</v>
      </c>
      <c r="E20" s="136">
        <f>SUM(E15:E19)</f>
        <v>42393.0241926665</v>
      </c>
      <c r="F20" s="137">
        <f>SUM(F15:F19)</f>
        <v>765</v>
      </c>
      <c r="G20" s="138">
        <f>SUM(G15:G19)</f>
        <v>43158.0241926665</v>
      </c>
      <c r="H20" s="137"/>
      <c r="I20" s="137">
        <f>SUM(I15:I19)</f>
        <v>69819.8627894815</v>
      </c>
      <c r="J20" s="137">
        <f>SUM(J15:J19)</f>
        <v>2670.5</v>
      </c>
      <c r="K20" s="139">
        <f>SUM(K15:K19)</f>
        <v>72490.3627894815</v>
      </c>
      <c r="L20" s="140">
        <f>ROUND(K20*$N$186/$K$176,0)-1</f>
        <v>1771459</v>
      </c>
      <c r="M20" s="141">
        <f>SUM(M15:M19)</f>
        <v>-862.8726715745001</v>
      </c>
      <c r="N20" s="142">
        <f>SUM(N15:N19)</f>
        <v>1590.0707472695863</v>
      </c>
      <c r="O20"/>
      <c r="P20"/>
      <c r="Q20"/>
    </row>
    <row r="21" spans="1:17" s="70" customFormat="1" ht="12.75" customHeight="1">
      <c r="A21" s="143" t="s">
        <v>227</v>
      </c>
      <c r="B21" s="112" t="s">
        <v>222</v>
      </c>
      <c r="C21" s="237">
        <v>3966.5</v>
      </c>
      <c r="D21" s="113">
        <v>3549.5924976774904</v>
      </c>
      <c r="E21" s="114">
        <f>IF(C21&gt;=0.9*D21,D21,C21+0.1*D21)</f>
        <v>3549.5924976774904</v>
      </c>
      <c r="F21" s="115"/>
      <c r="G21" s="116">
        <f>E21+F21</f>
        <v>3549.5924976774904</v>
      </c>
      <c r="H21" s="117">
        <v>1.4935711584520357</v>
      </c>
      <c r="I21" s="115">
        <f>E21*H21</f>
        <v>5301.568978788824</v>
      </c>
      <c r="J21" s="118"/>
      <c r="K21" s="119">
        <f>I21+J21</f>
        <v>5301.568978788824</v>
      </c>
      <c r="L21" s="120"/>
      <c r="M21" s="121">
        <f>IF(D21&gt;C21,C21-D21,0)</f>
        <v>0</v>
      </c>
      <c r="N21" s="122">
        <f>IF(D21&lt;C21,C21-D21,0)</f>
        <v>416.9075023225096</v>
      </c>
      <c r="O21"/>
      <c r="P21"/>
      <c r="Q21"/>
    </row>
    <row r="22" spans="1:17" s="70" customFormat="1" ht="12.75" customHeight="1">
      <c r="A22" s="144" t="s">
        <v>227</v>
      </c>
      <c r="B22" s="112" t="s">
        <v>223</v>
      </c>
      <c r="C22" s="237">
        <v>81</v>
      </c>
      <c r="D22" s="113">
        <v>70.72979540532886</v>
      </c>
      <c r="E22" s="114">
        <f>IF(C22&gt;=0.9*D22,D22,C22+0.1*D22)</f>
        <v>70.72979540532886</v>
      </c>
      <c r="F22" s="115"/>
      <c r="G22" s="116">
        <f>E22+F22</f>
        <v>70.72979540532886</v>
      </c>
      <c r="H22" s="117">
        <v>1.1975308641975309</v>
      </c>
      <c r="I22" s="115">
        <f>E22*H22</f>
        <v>84.70111301625802</v>
      </c>
      <c r="J22" s="118"/>
      <c r="K22" s="119">
        <f>I22+J22</f>
        <v>84.70111301625802</v>
      </c>
      <c r="L22" s="120"/>
      <c r="M22" s="121">
        <f>IF(D22&gt;C22,C22-D22,0)</f>
        <v>0</v>
      </c>
      <c r="N22" s="122">
        <f>IF(D22&lt;C22,C22-D22,0)</f>
        <v>10.270204594671142</v>
      </c>
      <c r="O22"/>
      <c r="P22"/>
      <c r="Q22"/>
    </row>
    <row r="23" spans="1:17" s="70" customFormat="1" ht="12.75" customHeight="1">
      <c r="A23" s="144" t="s">
        <v>227</v>
      </c>
      <c r="B23" s="112" t="s">
        <v>224</v>
      </c>
      <c r="C23" s="237">
        <v>982.5</v>
      </c>
      <c r="D23" s="113">
        <v>958.3568708565597</v>
      </c>
      <c r="E23" s="114">
        <f>IF(C23&gt;=0.9*D23,D23,C23+0.1*D23)</f>
        <v>958.3568708565597</v>
      </c>
      <c r="F23" s="115"/>
      <c r="G23" s="116">
        <f>E23+F23</f>
        <v>958.3568708565597</v>
      </c>
      <c r="H23" s="117">
        <v>1.5466666666666666</v>
      </c>
      <c r="I23" s="115">
        <f>E23*H23</f>
        <v>1482.2586269248122</v>
      </c>
      <c r="J23" s="118"/>
      <c r="K23" s="119">
        <f>I23+J23</f>
        <v>1482.2586269248122</v>
      </c>
      <c r="L23" s="120"/>
      <c r="M23" s="121">
        <f>IF(D23&gt;C23,C23-D23,0)</f>
        <v>0</v>
      </c>
      <c r="N23" s="122">
        <f>IF(D23&lt;C23,C23-D23,0)</f>
        <v>24.14312914344032</v>
      </c>
      <c r="O23"/>
      <c r="P23"/>
      <c r="Q23"/>
    </row>
    <row r="24" spans="1:17" ht="12.75" customHeight="1">
      <c r="A24" s="123" t="s">
        <v>228</v>
      </c>
      <c r="B24" s="124" t="s">
        <v>225</v>
      </c>
      <c r="C24" s="238">
        <v>148</v>
      </c>
      <c r="D24" s="125">
        <v>165.09452302466013</v>
      </c>
      <c r="E24" s="114">
        <f>IF(C24&gt;=0.9*D24,D24,C24+0.1*D24)</f>
        <v>164.509452302466</v>
      </c>
      <c r="F24" s="126"/>
      <c r="G24" s="116">
        <f>E24+F24</f>
        <v>164.509452302466</v>
      </c>
      <c r="H24" s="127">
        <v>1.863918918918919</v>
      </c>
      <c r="I24" s="115">
        <f>E24*H24</f>
        <v>306.6322804875559</v>
      </c>
      <c r="J24" s="128"/>
      <c r="K24" s="119">
        <f>I24+J24</f>
        <v>306.6322804875559</v>
      </c>
      <c r="L24" s="129"/>
      <c r="M24" s="121">
        <f>IF(D24&gt;C24,C24-D24,0)</f>
        <v>-17.094523024660134</v>
      </c>
      <c r="N24" s="122">
        <f>IF(D24&lt;C24,C24-D24,0)</f>
        <v>0</v>
      </c>
      <c r="O24"/>
      <c r="P24"/>
      <c r="Q24"/>
    </row>
    <row r="25" spans="1:17" s="70" customFormat="1" ht="12.75" customHeight="1" thickBot="1">
      <c r="A25" s="145" t="s">
        <v>227</v>
      </c>
      <c r="B25" s="131" t="s">
        <v>226</v>
      </c>
      <c r="C25" s="237">
        <v>7467</v>
      </c>
      <c r="D25" s="113">
        <v>7184.68641280332</v>
      </c>
      <c r="E25" s="114">
        <f>IF(C25&lt;D25,C25,D25)</f>
        <v>7184.68641280332</v>
      </c>
      <c r="F25" s="126"/>
      <c r="G25" s="116">
        <f>E25+F25</f>
        <v>7184.68641280332</v>
      </c>
      <c r="H25" s="117">
        <v>1.501037913486005</v>
      </c>
      <c r="I25" s="115">
        <f>E25*H25</f>
        <v>10784.486702125547</v>
      </c>
      <c r="J25" s="132"/>
      <c r="K25" s="119">
        <f>I25+J25</f>
        <v>10784.486702125547</v>
      </c>
      <c r="L25" s="133"/>
      <c r="M25" s="121">
        <f>IF(D25&gt;C25,C25-D25,0)</f>
        <v>0</v>
      </c>
      <c r="N25" s="122">
        <f>IF(D25&lt;C25,C25-D25,0)</f>
        <v>282.3135871966797</v>
      </c>
      <c r="O25"/>
      <c r="P25"/>
      <c r="Q25"/>
    </row>
    <row r="26" spans="1:17" s="70" customFormat="1" ht="12.75" customHeight="1" thickBot="1">
      <c r="A26" s="134" t="s">
        <v>227</v>
      </c>
      <c r="B26" s="135" t="s">
        <v>71</v>
      </c>
      <c r="C26" s="239">
        <f>SUM(C21:C25)</f>
        <v>12645</v>
      </c>
      <c r="D26" s="136">
        <f>SUM(D21:D25)</f>
        <v>11928.460099767359</v>
      </c>
      <c r="E26" s="136">
        <f>SUM(E21:E25)</f>
        <v>11927.875029045164</v>
      </c>
      <c r="F26" s="137">
        <f>SUM(F21:F25)</f>
        <v>0</v>
      </c>
      <c r="G26" s="138">
        <f>SUM(G21:G25)</f>
        <v>11927.875029045164</v>
      </c>
      <c r="H26" s="137"/>
      <c r="I26" s="137">
        <f>SUM(I21:I25)</f>
        <v>17959.647701342998</v>
      </c>
      <c r="J26" s="137">
        <f>SUM(J21:J25)</f>
        <v>0</v>
      </c>
      <c r="K26" s="139">
        <f>SUM(K21:K25)</f>
        <v>17959.647701342998</v>
      </c>
      <c r="L26" s="140">
        <f>ROUND(K26*$N$186/$K$176,0)</f>
        <v>438883</v>
      </c>
      <c r="M26" s="141">
        <f>SUM(M21:M25)</f>
        <v>-17.094523024660134</v>
      </c>
      <c r="N26" s="142">
        <f>SUM(N21:N25)</f>
        <v>733.6344232573008</v>
      </c>
      <c r="O26"/>
      <c r="P26"/>
      <c r="Q26"/>
    </row>
    <row r="27" spans="1:17" s="70" customFormat="1" ht="12.75" customHeight="1">
      <c r="A27" s="143" t="s">
        <v>229</v>
      </c>
      <c r="B27" s="112" t="s">
        <v>222</v>
      </c>
      <c r="C27" s="237">
        <v>3226.5</v>
      </c>
      <c r="D27" s="113">
        <v>3235</v>
      </c>
      <c r="E27" s="114">
        <f>IF(C27&gt;=0.9*D27,D27,C27+0.1*D27)</f>
        <v>3235</v>
      </c>
      <c r="F27" s="115"/>
      <c r="G27" s="116">
        <f>E27+F27</f>
        <v>3235</v>
      </c>
      <c r="H27" s="117">
        <v>1.4796528746319542</v>
      </c>
      <c r="I27" s="115">
        <f>E27*H27</f>
        <v>4786.677049434372</v>
      </c>
      <c r="J27" s="118"/>
      <c r="K27" s="119">
        <f>I27+J27</f>
        <v>4786.677049434372</v>
      </c>
      <c r="L27" s="120"/>
      <c r="M27" s="121">
        <f>IF(D27&gt;C27,C27-D27,0)</f>
        <v>-8.5</v>
      </c>
      <c r="N27" s="122">
        <f>IF(D27&lt;C27,C27-D27,0)</f>
        <v>0</v>
      </c>
      <c r="O27"/>
      <c r="P27"/>
      <c r="Q27"/>
    </row>
    <row r="28" spans="1:17" s="70" customFormat="1" ht="12.75" customHeight="1">
      <c r="A28" s="144" t="s">
        <v>229</v>
      </c>
      <c r="B28" s="112" t="s">
        <v>223</v>
      </c>
      <c r="C28" s="237">
        <v>127</v>
      </c>
      <c r="D28" s="113">
        <v>135</v>
      </c>
      <c r="E28" s="114">
        <f>IF(C28&gt;=0.9*D28,D28,C28+0.1*D28)</f>
        <v>135</v>
      </c>
      <c r="F28" s="115"/>
      <c r="G28" s="116">
        <f>E28+F28</f>
        <v>135</v>
      </c>
      <c r="H28" s="117">
        <v>1.2</v>
      </c>
      <c r="I28" s="115">
        <f>E28*H28</f>
        <v>162</v>
      </c>
      <c r="J28" s="118"/>
      <c r="K28" s="119">
        <f>I28+J28</f>
        <v>162</v>
      </c>
      <c r="L28" s="120"/>
      <c r="M28" s="121">
        <f>IF(D28&gt;C28,C28-D28,0)</f>
        <v>-8</v>
      </c>
      <c r="N28" s="122">
        <f>IF(D28&lt;C28,C28-D28,0)</f>
        <v>0</v>
      </c>
      <c r="O28"/>
      <c r="P28"/>
      <c r="Q28"/>
    </row>
    <row r="29" spans="1:17" s="70" customFormat="1" ht="12.75" customHeight="1">
      <c r="A29" s="144" t="s">
        <v>229</v>
      </c>
      <c r="B29" s="112" t="s">
        <v>224</v>
      </c>
      <c r="C29" s="237">
        <v>591.5</v>
      </c>
      <c r="D29" s="113">
        <v>698</v>
      </c>
      <c r="E29" s="114">
        <f>IF(C29&gt;=0.9*D29,D29,C29+0.1*D29)</f>
        <v>661.3</v>
      </c>
      <c r="F29" s="115"/>
      <c r="G29" s="116">
        <f>E29+F29</f>
        <v>661.3</v>
      </c>
      <c r="H29" s="117">
        <v>1.4822147083685546</v>
      </c>
      <c r="I29" s="115">
        <f>E29*H29</f>
        <v>980.188586644125</v>
      </c>
      <c r="J29" s="118"/>
      <c r="K29" s="119">
        <f>I29+J29</f>
        <v>980.188586644125</v>
      </c>
      <c r="L29" s="120"/>
      <c r="M29" s="121">
        <f>IF(D29&gt;C29,C29-D29,0)</f>
        <v>-106.5</v>
      </c>
      <c r="N29" s="122">
        <f>IF(D29&lt;C29,C29-D29,0)</f>
        <v>0</v>
      </c>
      <c r="O29"/>
      <c r="P29"/>
      <c r="Q29"/>
    </row>
    <row r="30" spans="1:17" ht="12.75" customHeight="1">
      <c r="A30" s="123" t="s">
        <v>230</v>
      </c>
      <c r="B30" s="124" t="s">
        <v>225</v>
      </c>
      <c r="C30" s="238">
        <v>40</v>
      </c>
      <c r="D30" s="125">
        <v>45</v>
      </c>
      <c r="E30" s="114">
        <f>IF(C30&gt;=0.9*D30,D30,C30+0.1*D30)</f>
        <v>44.5</v>
      </c>
      <c r="F30" s="126"/>
      <c r="G30" s="116">
        <f>E30+F30</f>
        <v>44.5</v>
      </c>
      <c r="H30" s="127">
        <v>1.73</v>
      </c>
      <c r="I30" s="115">
        <f>E30*H30</f>
        <v>76.985</v>
      </c>
      <c r="J30" s="128"/>
      <c r="K30" s="119">
        <f>I30+J30</f>
        <v>76.985</v>
      </c>
      <c r="L30" s="129"/>
      <c r="M30" s="121">
        <f>IF(D30&gt;C30,C30-D30,0)</f>
        <v>-5</v>
      </c>
      <c r="N30" s="122">
        <f>IF(D30&lt;C30,C30-D30,0)</f>
        <v>0</v>
      </c>
      <c r="O30"/>
      <c r="P30"/>
      <c r="Q30"/>
    </row>
    <row r="31" spans="1:17" s="70" customFormat="1" ht="12.75" customHeight="1" thickBot="1">
      <c r="A31" s="145" t="s">
        <v>229</v>
      </c>
      <c r="B31" s="131" t="s">
        <v>226</v>
      </c>
      <c r="C31" s="237">
        <v>6488.5</v>
      </c>
      <c r="D31" s="113">
        <v>6033</v>
      </c>
      <c r="E31" s="114">
        <f>IF(C31&lt;D31,C31,D31)</f>
        <v>6033</v>
      </c>
      <c r="F31" s="126"/>
      <c r="G31" s="116">
        <f>E31+F31</f>
        <v>6033</v>
      </c>
      <c r="H31" s="117">
        <v>1.4422177853124758</v>
      </c>
      <c r="I31" s="115">
        <f>E31*H31</f>
        <v>8700.899898790167</v>
      </c>
      <c r="J31" s="132"/>
      <c r="K31" s="119">
        <f>I31+J31</f>
        <v>8700.899898790167</v>
      </c>
      <c r="L31" s="133"/>
      <c r="M31" s="121">
        <f>IF(D31&gt;C31,C31-D31,0)</f>
        <v>0</v>
      </c>
      <c r="N31" s="122">
        <f>IF(D31&lt;C31,C31-D31,0)</f>
        <v>455.5</v>
      </c>
      <c r="O31"/>
      <c r="P31"/>
      <c r="Q31"/>
    </row>
    <row r="32" spans="1:17" s="70" customFormat="1" ht="12.75" customHeight="1" thickBot="1">
      <c r="A32" s="134" t="s">
        <v>229</v>
      </c>
      <c r="B32" s="135" t="s">
        <v>71</v>
      </c>
      <c r="C32" s="239">
        <f>SUM(C27:C31)</f>
        <v>10473.5</v>
      </c>
      <c r="D32" s="136">
        <f>SUM(D27:D31)</f>
        <v>10146</v>
      </c>
      <c r="E32" s="136">
        <f>SUM(E27:E31)</f>
        <v>10108.8</v>
      </c>
      <c r="F32" s="137">
        <f>SUM(F27:F31)</f>
        <v>0</v>
      </c>
      <c r="G32" s="138">
        <f>SUM(G27:G31)</f>
        <v>10108.8</v>
      </c>
      <c r="H32" s="137"/>
      <c r="I32" s="137">
        <f>SUM(I27:I31)</f>
        <v>14706.750534868665</v>
      </c>
      <c r="J32" s="137">
        <f>SUM(J27:J31)</f>
        <v>0</v>
      </c>
      <c r="K32" s="139">
        <f>SUM(K27:K31)</f>
        <v>14706.750534868665</v>
      </c>
      <c r="L32" s="140">
        <f>ROUND(K32*$N$186/$K$176,0)</f>
        <v>359392</v>
      </c>
      <c r="M32" s="141">
        <f>SUM(M27:M31)</f>
        <v>-128</v>
      </c>
      <c r="N32" s="142">
        <f>SUM(N27:N31)</f>
        <v>455.5</v>
      </c>
      <c r="O32"/>
      <c r="P32"/>
      <c r="Q32"/>
    </row>
    <row r="33" spans="1:17" s="70" customFormat="1" ht="12.75" customHeight="1">
      <c r="A33" s="143" t="s">
        <v>231</v>
      </c>
      <c r="B33" s="112" t="s">
        <v>222</v>
      </c>
      <c r="C33" s="237">
        <v>8760</v>
      </c>
      <c r="D33" s="113">
        <v>9064.556100956817</v>
      </c>
      <c r="E33" s="114">
        <f>IF(C33&gt;=0.9*D33,D33,C33+0.1*D33)</f>
        <v>9064.556100956817</v>
      </c>
      <c r="F33" s="115"/>
      <c r="G33" s="116">
        <f>E33+F33</f>
        <v>9064.556100956817</v>
      </c>
      <c r="H33" s="117">
        <v>1.3280913242009131</v>
      </c>
      <c r="I33" s="115">
        <f>E33*H33</f>
        <v>12038.558315413205</v>
      </c>
      <c r="J33" s="118"/>
      <c r="K33" s="119">
        <f>I33+J33</f>
        <v>12038.558315413205</v>
      </c>
      <c r="L33" s="120"/>
      <c r="M33" s="121">
        <f>IF(D33&gt;C33,C33-D33,0)</f>
        <v>-304.5561009568173</v>
      </c>
      <c r="N33" s="122">
        <f>IF(D33&lt;C33,C33-D33,0)</f>
        <v>0</v>
      </c>
      <c r="O33"/>
      <c r="P33"/>
      <c r="Q33"/>
    </row>
    <row r="34" spans="1:17" s="70" customFormat="1" ht="12.75" customHeight="1">
      <c r="A34" s="144" t="s">
        <v>231</v>
      </c>
      <c r="B34" s="112" t="s">
        <v>223</v>
      </c>
      <c r="C34" s="237">
        <v>1537.5</v>
      </c>
      <c r="D34" s="113">
        <v>1560.4423783186778</v>
      </c>
      <c r="E34" s="114">
        <f>IF(C34&gt;=0.9*D34,D34,C34+0.1*D34)</f>
        <v>1560.4423783186778</v>
      </c>
      <c r="F34" s="116">
        <f>L212</f>
        <v>80</v>
      </c>
      <c r="G34" s="116">
        <f>E34+F34</f>
        <v>1640.4423783186778</v>
      </c>
      <c r="H34" s="117">
        <v>1.5227967479674798</v>
      </c>
      <c r="I34" s="115">
        <f>E34*H34</f>
        <v>2376.236579094322</v>
      </c>
      <c r="J34" s="118">
        <f>N212</f>
        <v>280</v>
      </c>
      <c r="K34" s="119">
        <f>I34+J34</f>
        <v>2656.236579094322</v>
      </c>
      <c r="L34" s="120"/>
      <c r="M34" s="121">
        <f>IF(D34&gt;C34,C34-D34,0)</f>
        <v>-22.94237831867781</v>
      </c>
      <c r="N34" s="122">
        <f>IF(D34&lt;C34,C34-D34,0)</f>
        <v>0</v>
      </c>
      <c r="O34"/>
      <c r="P34"/>
      <c r="Q34"/>
    </row>
    <row r="35" spans="1:17" s="70" customFormat="1" ht="12.75" customHeight="1">
      <c r="A35" s="144" t="s">
        <v>231</v>
      </c>
      <c r="B35" s="112" t="s">
        <v>224</v>
      </c>
      <c r="C35" s="237">
        <v>4792.5</v>
      </c>
      <c r="D35" s="113">
        <v>4223.416334255022</v>
      </c>
      <c r="E35" s="114">
        <f>IF(C35&gt;=0.9*D35,D35,C35+0.1*D35)</f>
        <v>4223.416334255022</v>
      </c>
      <c r="F35" s="115"/>
      <c r="G35" s="116">
        <f>E35+F35</f>
        <v>4223.416334255022</v>
      </c>
      <c r="H35" s="117">
        <v>1.3130182576943141</v>
      </c>
      <c r="I35" s="115">
        <f>E35*H35</f>
        <v>5545.422756721236</v>
      </c>
      <c r="J35" s="118"/>
      <c r="K35" s="119">
        <f>I35+J35</f>
        <v>5545.422756721236</v>
      </c>
      <c r="L35" s="120"/>
      <c r="M35" s="121">
        <f>IF(D35&gt;C35,C35-D35,0)</f>
        <v>0</v>
      </c>
      <c r="N35" s="122">
        <f>IF(D35&lt;C35,C35-D35,0)</f>
        <v>569.0836657449781</v>
      </c>
      <c r="O35"/>
      <c r="P35"/>
      <c r="Q35"/>
    </row>
    <row r="36" spans="1:17" ht="12.75" customHeight="1">
      <c r="A36" s="123" t="s">
        <v>231</v>
      </c>
      <c r="B36" s="124" t="s">
        <v>225</v>
      </c>
      <c r="C36" s="238">
        <v>678.5</v>
      </c>
      <c r="D36" s="125">
        <v>689.7743585601997</v>
      </c>
      <c r="E36" s="114">
        <f>IF(C36&gt;=0.9*D36,D36,C36+0.1*D36)</f>
        <v>689.7743585601997</v>
      </c>
      <c r="F36" s="146">
        <f>L213</f>
        <v>2</v>
      </c>
      <c r="G36" s="116">
        <f>E36+F36</f>
        <v>691.7743585601997</v>
      </c>
      <c r="H36" s="127">
        <v>1.7433308769344142</v>
      </c>
      <c r="I36" s="115">
        <f>E36*H36</f>
        <v>1202.504937395626</v>
      </c>
      <c r="J36" s="128">
        <f>N213</f>
        <v>5.6</v>
      </c>
      <c r="K36" s="119">
        <f>I36+J36</f>
        <v>1208.104937395626</v>
      </c>
      <c r="L36" s="129"/>
      <c r="M36" s="121">
        <f>IF(D36&gt;C36,C36-D36,0)</f>
        <v>-11.274358560199744</v>
      </c>
      <c r="N36" s="122">
        <f>IF(D36&lt;C36,C36-D36,0)</f>
        <v>0</v>
      </c>
      <c r="O36"/>
      <c r="P36"/>
      <c r="Q36"/>
    </row>
    <row r="37" spans="1:17" s="70" customFormat="1" ht="12.75" customHeight="1" thickBot="1">
      <c r="A37" s="145" t="s">
        <v>231</v>
      </c>
      <c r="B37" s="131" t="s">
        <v>226</v>
      </c>
      <c r="C37" s="237">
        <v>24413.5</v>
      </c>
      <c r="D37" s="113">
        <v>23597.199401097485</v>
      </c>
      <c r="E37" s="114">
        <f>IF(C37&lt;D37,C37,D37)</f>
        <v>23597.199401097485</v>
      </c>
      <c r="F37" s="116">
        <f>L214</f>
        <v>289.5</v>
      </c>
      <c r="G37" s="116">
        <f>E37+F37</f>
        <v>23886.699401097485</v>
      </c>
      <c r="H37" s="117">
        <v>1.4146517254797548</v>
      </c>
      <c r="I37" s="115">
        <f>E37*H37</f>
        <v>33381.81884925239</v>
      </c>
      <c r="J37" s="132">
        <f>N214</f>
        <v>1002.05</v>
      </c>
      <c r="K37" s="119">
        <f>I37+J37</f>
        <v>34383.868849252394</v>
      </c>
      <c r="L37" s="133"/>
      <c r="M37" s="121">
        <f>IF(D37&gt;C37,C37-D37,0)</f>
        <v>0</v>
      </c>
      <c r="N37" s="122">
        <f>IF(D37&lt;C37,C37-D37,0)</f>
        <v>816.300598902515</v>
      </c>
      <c r="O37"/>
      <c r="P37"/>
      <c r="Q37"/>
    </row>
    <row r="38" spans="1:17" s="70" customFormat="1" ht="12.75" customHeight="1" thickBot="1">
      <c r="A38" s="134" t="s">
        <v>231</v>
      </c>
      <c r="B38" s="135" t="s">
        <v>71</v>
      </c>
      <c r="C38" s="239">
        <f>SUM(C33:C37)</f>
        <v>40182</v>
      </c>
      <c r="D38" s="136">
        <f>SUM(D33:D37)</f>
        <v>39135.388573188204</v>
      </c>
      <c r="E38" s="136">
        <f>SUM(E33:E37)</f>
        <v>39135.388573188204</v>
      </c>
      <c r="F38" s="137">
        <f>SUM(F33:F37)</f>
        <v>371.5</v>
      </c>
      <c r="G38" s="138">
        <f>SUM(G33:G37)</f>
        <v>39506.888573188204</v>
      </c>
      <c r="H38" s="137"/>
      <c r="I38" s="137">
        <f>SUM(I33:I37)</f>
        <v>54544.541437876775</v>
      </c>
      <c r="J38" s="137">
        <f>SUM(J33:J37)</f>
        <v>1287.65</v>
      </c>
      <c r="K38" s="139">
        <f>SUM(K33:K37)</f>
        <v>55832.19143787678</v>
      </c>
      <c r="L38" s="140">
        <f>ROUND(K38*$N$186/$K$176,0)</f>
        <v>1364381</v>
      </c>
      <c r="M38" s="141">
        <f>SUM(M33:M37)</f>
        <v>-338.7728378356949</v>
      </c>
      <c r="N38" s="142">
        <f>SUM(N33:N37)</f>
        <v>1385.3842646474932</v>
      </c>
      <c r="O38"/>
      <c r="P38"/>
      <c r="Q38"/>
    </row>
    <row r="39" spans="1:17" s="70" customFormat="1" ht="12.75" customHeight="1">
      <c r="A39" s="147" t="s">
        <v>232</v>
      </c>
      <c r="B39" s="112" t="s">
        <v>222</v>
      </c>
      <c r="C39" s="237">
        <v>4764.5</v>
      </c>
      <c r="D39" s="113">
        <v>4419</v>
      </c>
      <c r="E39" s="114">
        <f>IF(C39&gt;=0.9*D39,D39,C39+0.1*D39)</f>
        <v>4419</v>
      </c>
      <c r="F39" s="116"/>
      <c r="G39" s="116">
        <f>E39+F39</f>
        <v>4419</v>
      </c>
      <c r="H39" s="117">
        <v>1.4663322489243362</v>
      </c>
      <c r="I39" s="115">
        <f>E39*H39</f>
        <v>6479.722207996641</v>
      </c>
      <c r="J39" s="118"/>
      <c r="K39" s="119">
        <f>I39+J39</f>
        <v>6479.722207996641</v>
      </c>
      <c r="L39" s="120"/>
      <c r="M39" s="121">
        <f>IF(D39&gt;C39,C39-D39,0)</f>
        <v>0</v>
      </c>
      <c r="N39" s="122">
        <f>IF(D39&lt;C39,C39-D39,0)</f>
        <v>345.5</v>
      </c>
      <c r="O39"/>
      <c r="P39"/>
      <c r="Q39"/>
    </row>
    <row r="40" spans="1:17" s="70" customFormat="1" ht="12.75" customHeight="1">
      <c r="A40" s="111" t="s">
        <v>232</v>
      </c>
      <c r="B40" s="112" t="s">
        <v>223</v>
      </c>
      <c r="C40" s="237">
        <v>798.5</v>
      </c>
      <c r="D40" s="113">
        <v>829</v>
      </c>
      <c r="E40" s="114">
        <f>IF(C40&gt;=0.9*D40,D40,C40+0.1*D40)</f>
        <v>829</v>
      </c>
      <c r="F40" s="116">
        <f>L218</f>
        <v>90</v>
      </c>
      <c r="G40" s="116">
        <f>E40+F40</f>
        <v>919</v>
      </c>
      <c r="H40" s="117">
        <v>1.5795867251095803</v>
      </c>
      <c r="I40" s="115">
        <f>E40*H40</f>
        <v>1309.477395115842</v>
      </c>
      <c r="J40" s="118">
        <f>N218</f>
        <v>315</v>
      </c>
      <c r="K40" s="119">
        <f>I40+J40</f>
        <v>1624.477395115842</v>
      </c>
      <c r="L40" s="120"/>
      <c r="M40" s="121">
        <f>IF(D40&gt;C40,C40-D40,0)</f>
        <v>-30.5</v>
      </c>
      <c r="N40" s="122">
        <f>IF(D40&lt;C40,C40-D40,0)</f>
        <v>0</v>
      </c>
      <c r="O40"/>
      <c r="P40"/>
      <c r="Q40"/>
    </row>
    <row r="41" spans="1:17" s="70" customFormat="1" ht="12.75" customHeight="1">
      <c r="A41" s="111" t="s">
        <v>232</v>
      </c>
      <c r="B41" s="112" t="s">
        <v>224</v>
      </c>
      <c r="C41" s="237">
        <v>1903.5</v>
      </c>
      <c r="D41" s="113">
        <v>1805</v>
      </c>
      <c r="E41" s="114">
        <f>IF(C41&gt;=0.9*D41,D41,C41+0.1*D41)</f>
        <v>1805</v>
      </c>
      <c r="F41" s="116"/>
      <c r="G41" s="116">
        <f>E41+F41</f>
        <v>1805</v>
      </c>
      <c r="H41" s="117">
        <v>1.3949829261886</v>
      </c>
      <c r="I41" s="115">
        <f>E41*H41</f>
        <v>2517.944181770423</v>
      </c>
      <c r="J41" s="118"/>
      <c r="K41" s="119">
        <f>I41+J41</f>
        <v>2517.944181770423</v>
      </c>
      <c r="L41" s="120"/>
      <c r="M41" s="121">
        <f>IF(D41&gt;C41,C41-D41,0)</f>
        <v>0</v>
      </c>
      <c r="N41" s="122">
        <f>IF(D41&lt;C41,C41-D41,0)</f>
        <v>98.5</v>
      </c>
      <c r="O41"/>
      <c r="P41"/>
      <c r="Q41"/>
    </row>
    <row r="42" spans="1:17" ht="12.75" customHeight="1">
      <c r="A42" s="123" t="s">
        <v>232</v>
      </c>
      <c r="B42" s="124" t="s">
        <v>225</v>
      </c>
      <c r="C42" s="238">
        <v>341.5</v>
      </c>
      <c r="D42" s="125">
        <v>360</v>
      </c>
      <c r="E42" s="114">
        <f>IF(C42&gt;=0.9*D42,D42,C42+0.1*D42)</f>
        <v>360</v>
      </c>
      <c r="F42" s="146"/>
      <c r="G42" s="116">
        <f>E42+F42</f>
        <v>360</v>
      </c>
      <c r="H42" s="127">
        <v>1.7758418740849196</v>
      </c>
      <c r="I42" s="115">
        <f>E42*H42</f>
        <v>639.303074670571</v>
      </c>
      <c r="J42" s="128"/>
      <c r="K42" s="119">
        <f>I42+J42</f>
        <v>639.303074670571</v>
      </c>
      <c r="L42" s="129"/>
      <c r="M42" s="121">
        <f>IF(D42&gt;C42,C42-D42,0)</f>
        <v>-18.5</v>
      </c>
      <c r="N42" s="122">
        <f>IF(D42&lt;C42,C42-D42,0)</f>
        <v>0</v>
      </c>
      <c r="O42"/>
      <c r="P42"/>
      <c r="Q42"/>
    </row>
    <row r="43" spans="1:17" s="70" customFormat="1" ht="12.75" customHeight="1" thickBot="1">
      <c r="A43" s="130" t="s">
        <v>232</v>
      </c>
      <c r="B43" s="131" t="s">
        <v>226</v>
      </c>
      <c r="C43" s="237">
        <v>13180.5</v>
      </c>
      <c r="D43" s="113">
        <v>13135</v>
      </c>
      <c r="E43" s="114">
        <f>IF(C43&lt;D43,C43,D43)</f>
        <v>13135</v>
      </c>
      <c r="F43" s="116">
        <f>L219</f>
        <v>321</v>
      </c>
      <c r="G43" s="116">
        <f>E43+F43</f>
        <v>13456</v>
      </c>
      <c r="H43" s="117">
        <v>1.4534084518796706</v>
      </c>
      <c r="I43" s="115">
        <f>E43*H43</f>
        <v>19090.520015439473</v>
      </c>
      <c r="J43" s="132">
        <f>N219</f>
        <v>1123.5</v>
      </c>
      <c r="K43" s="119">
        <f>I43+J43</f>
        <v>20214.020015439473</v>
      </c>
      <c r="L43" s="133"/>
      <c r="M43" s="121">
        <f>IF(D43&gt;C43,C43-D43,0)</f>
        <v>0</v>
      </c>
      <c r="N43" s="122">
        <f>IF(D43&lt;C43,C43-D43,0)</f>
        <v>45.5</v>
      </c>
      <c r="O43"/>
      <c r="P43"/>
      <c r="Q43"/>
    </row>
    <row r="44" spans="1:17" s="70" customFormat="1" ht="12.75" customHeight="1" thickBot="1">
      <c r="A44" s="134" t="s">
        <v>232</v>
      </c>
      <c r="B44" s="135" t="s">
        <v>71</v>
      </c>
      <c r="C44" s="239">
        <f>SUM(C39:C43)</f>
        <v>20988.5</v>
      </c>
      <c r="D44" s="136">
        <f>SUM(D39:D43)</f>
        <v>20548</v>
      </c>
      <c r="E44" s="136">
        <f>SUM(E39:E43)</f>
        <v>20548</v>
      </c>
      <c r="F44" s="137">
        <f>SUM(F39:F43)</f>
        <v>411</v>
      </c>
      <c r="G44" s="138">
        <f>SUM(G39:G43)</f>
        <v>20959</v>
      </c>
      <c r="H44" s="137"/>
      <c r="I44" s="137">
        <f>SUM(I39:I43)</f>
        <v>30036.96687499295</v>
      </c>
      <c r="J44" s="137">
        <f>SUM(J39:J43)</f>
        <v>1438.5</v>
      </c>
      <c r="K44" s="139">
        <f>SUM(K39:K43)</f>
        <v>31475.46687499295</v>
      </c>
      <c r="L44" s="140">
        <f>ROUND(K44*$N$186/$K$176,0)</f>
        <v>769172</v>
      </c>
      <c r="M44" s="141">
        <f>SUM(M39:M43)</f>
        <v>-49</v>
      </c>
      <c r="N44" s="142">
        <f>SUM(N39:N43)</f>
        <v>489.5</v>
      </c>
      <c r="O44"/>
      <c r="P44"/>
      <c r="Q44"/>
    </row>
    <row r="45" spans="1:17" s="70" customFormat="1" ht="12.75" customHeight="1">
      <c r="A45" s="143" t="s">
        <v>85</v>
      </c>
      <c r="B45" s="112" t="s">
        <v>222</v>
      </c>
      <c r="C45" s="237">
        <v>168</v>
      </c>
      <c r="D45" s="113">
        <v>131.2068085012647</v>
      </c>
      <c r="E45" s="114">
        <f>IF(C45&gt;=0.9*D45,D45,C45+0.1*D45)</f>
        <v>131.2068085012647</v>
      </c>
      <c r="F45" s="115"/>
      <c r="G45" s="116">
        <f>E45+F45</f>
        <v>131.2068085012647</v>
      </c>
      <c r="H45" s="117">
        <v>3.5</v>
      </c>
      <c r="I45" s="115">
        <f>E45*H45</f>
        <v>459.22382975442645</v>
      </c>
      <c r="J45" s="118"/>
      <c r="K45" s="119">
        <f>I45+J45</f>
        <v>459.22382975442645</v>
      </c>
      <c r="L45" s="120"/>
      <c r="M45" s="121">
        <f>IF(D45&gt;C45,C45-D45,0)</f>
        <v>0</v>
      </c>
      <c r="N45" s="122">
        <f>IF(D45&lt;C45,C45-D45,0)</f>
        <v>36.7931914987353</v>
      </c>
      <c r="O45"/>
      <c r="P45"/>
      <c r="Q45"/>
    </row>
    <row r="46" spans="1:17" s="70" customFormat="1" ht="12.75" customHeight="1">
      <c r="A46" s="144" t="s">
        <v>85</v>
      </c>
      <c r="B46" s="112" t="s">
        <v>223</v>
      </c>
      <c r="C46" s="237">
        <v>525.5</v>
      </c>
      <c r="D46" s="125">
        <v>445</v>
      </c>
      <c r="E46" s="114">
        <f>IF(C46&gt;=0.9*D46,D46,C46+0.1*D46)</f>
        <v>445</v>
      </c>
      <c r="F46" s="115"/>
      <c r="G46" s="116">
        <f>E46+F46</f>
        <v>445</v>
      </c>
      <c r="H46" s="117">
        <v>3.084928639391056</v>
      </c>
      <c r="I46" s="115">
        <f>E46*H46</f>
        <v>1372.79324452902</v>
      </c>
      <c r="J46" s="118"/>
      <c r="K46" s="119">
        <f>I46+J46</f>
        <v>1372.79324452902</v>
      </c>
      <c r="L46" s="120"/>
      <c r="M46" s="121">
        <f>IF(D46&gt;C46,C46-D46,0)</f>
        <v>0</v>
      </c>
      <c r="N46" s="122">
        <f>IF(D46&lt;C46,C46-D46,0)</f>
        <v>80.5</v>
      </c>
      <c r="O46"/>
      <c r="P46"/>
      <c r="Q46"/>
    </row>
    <row r="47" spans="1:17" s="70" customFormat="1" ht="12.75" customHeight="1">
      <c r="A47" s="144" t="s">
        <v>85</v>
      </c>
      <c r="B47" s="112" t="s">
        <v>224</v>
      </c>
      <c r="C47" s="237">
        <v>61</v>
      </c>
      <c r="D47" s="125">
        <v>72</v>
      </c>
      <c r="E47" s="114">
        <f>IF(C47&gt;=0.9*D47,D47,C47+0.1*D47)</f>
        <v>68.2</v>
      </c>
      <c r="F47" s="115"/>
      <c r="G47" s="116">
        <f>E47+F47</f>
        <v>68.2</v>
      </c>
      <c r="H47" s="117">
        <v>3.5</v>
      </c>
      <c r="I47" s="115">
        <f>E47*H47</f>
        <v>238.70000000000002</v>
      </c>
      <c r="J47" s="118"/>
      <c r="K47" s="119">
        <f>I47+J47</f>
        <v>238.70000000000002</v>
      </c>
      <c r="L47" s="120"/>
      <c r="M47" s="121">
        <f>IF(D47&gt;C47,C47-D47,0)</f>
        <v>-11</v>
      </c>
      <c r="N47" s="122">
        <f>IF(D47&lt;C47,C47-D47,0)</f>
        <v>0</v>
      </c>
      <c r="O47"/>
      <c r="P47"/>
      <c r="Q47"/>
    </row>
    <row r="48" spans="1:16" ht="12.75" customHeight="1">
      <c r="A48" s="123" t="s">
        <v>85</v>
      </c>
      <c r="B48" s="124" t="s">
        <v>225</v>
      </c>
      <c r="C48" s="238">
        <v>56.5</v>
      </c>
      <c r="D48" s="125">
        <v>74.0179377571401</v>
      </c>
      <c r="E48" s="114">
        <f>IF(C48&gt;=0.9*D48,D48,C48+0.1*D48)</f>
        <v>63.90179377571401</v>
      </c>
      <c r="F48" s="126"/>
      <c r="G48" s="116">
        <f>E48+F48</f>
        <v>63.90179377571401</v>
      </c>
      <c r="H48" s="127">
        <v>3.101769911504425</v>
      </c>
      <c r="I48" s="115">
        <f>E48*H48</f>
        <v>198.20866122467046</v>
      </c>
      <c r="J48" s="128"/>
      <c r="K48" s="119">
        <f>I48+J48</f>
        <v>198.20866122467046</v>
      </c>
      <c r="L48" s="129"/>
      <c r="M48" s="121">
        <f>IF(D48&gt;C48,C48-D48,0)</f>
        <v>-17.517937757140103</v>
      </c>
      <c r="N48" s="122">
        <f>IF(D48&lt;C48,C48-D48,0)</f>
        <v>0</v>
      </c>
      <c r="O48"/>
      <c r="P48"/>
    </row>
    <row r="49" spans="1:16" s="70" customFormat="1" ht="12.75" customHeight="1" thickBot="1">
      <c r="A49" s="145" t="s">
        <v>85</v>
      </c>
      <c r="B49" s="131" t="s">
        <v>226</v>
      </c>
      <c r="C49" s="237">
        <v>1998.5</v>
      </c>
      <c r="D49" s="113">
        <v>1981.1856275956945</v>
      </c>
      <c r="E49" s="114">
        <f>IF(C49&lt;D49,C49,D49)</f>
        <v>1981.1856275956945</v>
      </c>
      <c r="F49" s="126"/>
      <c r="G49" s="116">
        <f>E49+F49</f>
        <v>1981.1856275956945</v>
      </c>
      <c r="H49" s="117">
        <v>3.130662997247936</v>
      </c>
      <c r="I49" s="115">
        <f>E49*H49</f>
        <v>6202.42453499327</v>
      </c>
      <c r="J49" s="132"/>
      <c r="K49" s="119">
        <f>I49+J49</f>
        <v>6202.42453499327</v>
      </c>
      <c r="L49" s="133"/>
      <c r="M49" s="121">
        <f>IF(D49&gt;C49,C49-D49,0)</f>
        <v>0</v>
      </c>
      <c r="N49" s="122">
        <f>IF(D49&lt;C49,C49-D49,0)</f>
        <v>17.31437240430546</v>
      </c>
      <c r="O49"/>
      <c r="P49"/>
    </row>
    <row r="50" spans="1:16" s="70" customFormat="1" ht="12.75" customHeight="1" thickBot="1">
      <c r="A50" s="134" t="s">
        <v>85</v>
      </c>
      <c r="B50" s="135" t="s">
        <v>71</v>
      </c>
      <c r="C50" s="239">
        <f>SUM(C45:C49)</f>
        <v>2809.5</v>
      </c>
      <c r="D50" s="136">
        <f>SUM(D45:D49)</f>
        <v>2703.4103738540994</v>
      </c>
      <c r="E50" s="136">
        <f>SUM(E45:E49)</f>
        <v>2689.4942298726733</v>
      </c>
      <c r="F50" s="137">
        <f>SUM(F45:F49)</f>
        <v>0</v>
      </c>
      <c r="G50" s="138">
        <f>SUM(G45:G49)</f>
        <v>2689.4942298726733</v>
      </c>
      <c r="H50" s="137"/>
      <c r="I50" s="137">
        <f>SUM(I45:I49)</f>
        <v>8471.350270501387</v>
      </c>
      <c r="J50" s="137">
        <f>SUM(J45:J49)</f>
        <v>0</v>
      </c>
      <c r="K50" s="139">
        <f>SUM(K45:K49)</f>
        <v>8471.350270501387</v>
      </c>
      <c r="L50" s="140">
        <f>ROUND(K50*$N$186/$K$176,0)</f>
        <v>207016</v>
      </c>
      <c r="M50" s="141">
        <f>SUM(M45:M49)</f>
        <v>-28.517937757140103</v>
      </c>
      <c r="N50" s="142">
        <f>SUM(N45:N49)</f>
        <v>134.60756390304076</v>
      </c>
      <c r="O50"/>
      <c r="P50"/>
    </row>
    <row r="51" spans="1:16" s="70" customFormat="1" ht="12.75" customHeight="1">
      <c r="A51" s="143" t="s">
        <v>233</v>
      </c>
      <c r="B51" s="112" t="s">
        <v>222</v>
      </c>
      <c r="C51" s="237">
        <v>3044</v>
      </c>
      <c r="D51" s="113">
        <v>2843</v>
      </c>
      <c r="E51" s="114">
        <f>IF(C51&gt;=0.9*D51,D51,C51+0.1*D51)</f>
        <v>2843</v>
      </c>
      <c r="F51" s="115"/>
      <c r="G51" s="116">
        <f>E51+F51</f>
        <v>2843</v>
      </c>
      <c r="H51" s="117">
        <v>1.5179369250985546</v>
      </c>
      <c r="I51" s="115">
        <f>E51*H51</f>
        <v>4315.494678055191</v>
      </c>
      <c r="J51" s="118"/>
      <c r="K51" s="119">
        <f>I51+J51</f>
        <v>4315.494678055191</v>
      </c>
      <c r="L51" s="120"/>
      <c r="M51" s="121">
        <f>IF(D51&gt;C51,C51-D51,0)</f>
        <v>0</v>
      </c>
      <c r="N51" s="122">
        <f>IF(D51&lt;C51,C51-D51,0)</f>
        <v>201</v>
      </c>
      <c r="O51"/>
      <c r="P51"/>
    </row>
    <row r="52" spans="1:16" s="70" customFormat="1" ht="12.75" customHeight="1">
      <c r="A52" s="144" t="s">
        <v>233</v>
      </c>
      <c r="B52" s="112" t="s">
        <v>223</v>
      </c>
      <c r="C52" s="237">
        <v>222.5</v>
      </c>
      <c r="D52" s="113">
        <v>192</v>
      </c>
      <c r="E52" s="114">
        <f>IF(C52&gt;=0.9*D52,D52,C52+0.1*D52)</f>
        <v>192</v>
      </c>
      <c r="F52" s="115"/>
      <c r="G52" s="116">
        <f>E52+F52</f>
        <v>192</v>
      </c>
      <c r="H52" s="117">
        <v>1.983820224719101</v>
      </c>
      <c r="I52" s="115">
        <f>E52*H52</f>
        <v>380.8934831460674</v>
      </c>
      <c r="J52" s="118"/>
      <c r="K52" s="119">
        <f>I52+J52</f>
        <v>380.8934831460674</v>
      </c>
      <c r="L52" s="120"/>
      <c r="M52" s="121">
        <f>IF(D52&gt;C52,C52-D52,0)</f>
        <v>0</v>
      </c>
      <c r="N52" s="122">
        <f>IF(D52&lt;C52,C52-D52,0)</f>
        <v>30.5</v>
      </c>
      <c r="O52"/>
      <c r="P52"/>
    </row>
    <row r="53" spans="1:16" s="70" customFormat="1" ht="12.75" customHeight="1">
      <c r="A53" s="144" t="s">
        <v>233</v>
      </c>
      <c r="B53" s="112" t="s">
        <v>224</v>
      </c>
      <c r="C53" s="237">
        <v>997</v>
      </c>
      <c r="D53" s="113">
        <v>865</v>
      </c>
      <c r="E53" s="114">
        <f>IF(C53&gt;=0.9*D53,D53,C53+0.1*D53)</f>
        <v>865</v>
      </c>
      <c r="F53" s="115"/>
      <c r="G53" s="116">
        <f>E53+F53</f>
        <v>865</v>
      </c>
      <c r="H53" s="117">
        <v>1.5244533600802408</v>
      </c>
      <c r="I53" s="115">
        <f>E53*H53</f>
        <v>1318.6521564694083</v>
      </c>
      <c r="J53" s="118"/>
      <c r="K53" s="119">
        <f>I53+J53</f>
        <v>1318.6521564694083</v>
      </c>
      <c r="L53" s="120"/>
      <c r="M53" s="121">
        <f>IF(D53&gt;C53,C53-D53,0)</f>
        <v>0</v>
      </c>
      <c r="N53" s="122">
        <f>IF(D53&lt;C53,C53-D53,0)</f>
        <v>132</v>
      </c>
      <c r="O53"/>
      <c r="P53"/>
    </row>
    <row r="54" spans="1:16" ht="12.75" customHeight="1">
      <c r="A54" s="123" t="s">
        <v>233</v>
      </c>
      <c r="B54" s="124" t="s">
        <v>225</v>
      </c>
      <c r="C54" s="238">
        <v>122</v>
      </c>
      <c r="D54" s="125">
        <v>85</v>
      </c>
      <c r="E54" s="114">
        <f>IF(C54&gt;=0.9*D54,D54,C54+0.1*D54)</f>
        <v>85</v>
      </c>
      <c r="F54" s="126"/>
      <c r="G54" s="116">
        <f>E54+F54</f>
        <v>85</v>
      </c>
      <c r="H54" s="127">
        <v>1.5454918032786886</v>
      </c>
      <c r="I54" s="115">
        <f>E54*H54</f>
        <v>131.36680327868854</v>
      </c>
      <c r="J54" s="128"/>
      <c r="K54" s="119">
        <f>I54+J54</f>
        <v>131.36680327868854</v>
      </c>
      <c r="L54" s="129"/>
      <c r="M54" s="121">
        <f>IF(D54&gt;C54,C54-D54,0)</f>
        <v>0</v>
      </c>
      <c r="N54" s="122">
        <f>IF(D54&lt;C54,C54-D54,0)</f>
        <v>37</v>
      </c>
      <c r="O54"/>
      <c r="P54"/>
    </row>
    <row r="55" spans="1:16" s="70" customFormat="1" ht="12.75" customHeight="1" thickBot="1">
      <c r="A55" s="145" t="s">
        <v>233</v>
      </c>
      <c r="B55" s="131" t="s">
        <v>226</v>
      </c>
      <c r="C55" s="237">
        <v>5586.5</v>
      </c>
      <c r="D55" s="113">
        <v>4949</v>
      </c>
      <c r="E55" s="114">
        <f>IF(C55&lt;D55,C55,D55)</f>
        <v>4949</v>
      </c>
      <c r="F55" s="126"/>
      <c r="G55" s="116">
        <f>E55+F55</f>
        <v>4949</v>
      </c>
      <c r="H55" s="117">
        <v>1.5429052358363915</v>
      </c>
      <c r="I55" s="115">
        <f>E55*H55</f>
        <v>7635.838012154301</v>
      </c>
      <c r="J55" s="132"/>
      <c r="K55" s="119">
        <f>I55+J55</f>
        <v>7635.838012154301</v>
      </c>
      <c r="L55" s="133"/>
      <c r="M55" s="121">
        <f>IF(D55&gt;C55,C55-D55,0)</f>
        <v>0</v>
      </c>
      <c r="N55" s="122">
        <f>IF(D55&lt;C55,C55-D55,0)</f>
        <v>637.5</v>
      </c>
      <c r="O55"/>
      <c r="P55"/>
    </row>
    <row r="56" spans="1:16" s="70" customFormat="1" ht="12.75" customHeight="1" thickBot="1">
      <c r="A56" s="134" t="s">
        <v>233</v>
      </c>
      <c r="B56" s="135" t="s">
        <v>71</v>
      </c>
      <c r="C56" s="239">
        <f>SUM(C51:C55)</f>
        <v>9972</v>
      </c>
      <c r="D56" s="136">
        <f>SUM(D51:D55)</f>
        <v>8934</v>
      </c>
      <c r="E56" s="136">
        <f>SUM(E51:E55)</f>
        <v>8934</v>
      </c>
      <c r="F56" s="137">
        <f>SUM(F51:F55)</f>
        <v>0</v>
      </c>
      <c r="G56" s="138">
        <f>SUM(G51:G55)</f>
        <v>8934</v>
      </c>
      <c r="H56" s="137"/>
      <c r="I56" s="137">
        <f>SUM(I51:I55)</f>
        <v>13782.245133103657</v>
      </c>
      <c r="J56" s="137">
        <f>SUM(J51:J55)</f>
        <v>0</v>
      </c>
      <c r="K56" s="139">
        <f>SUM(K51:K55)</f>
        <v>13782.245133103657</v>
      </c>
      <c r="L56" s="140">
        <f>ROUND(K56*$N$186/$K$176,0)</f>
        <v>336799</v>
      </c>
      <c r="M56" s="141">
        <f>SUM(M51:M55)</f>
        <v>0</v>
      </c>
      <c r="N56" s="142">
        <f>SUM(N51:N55)</f>
        <v>1038</v>
      </c>
      <c r="O56"/>
      <c r="P56"/>
    </row>
    <row r="57" spans="1:16" s="70" customFormat="1" ht="12.75" customHeight="1">
      <c r="A57" s="148" t="s">
        <v>151</v>
      </c>
      <c r="B57" s="112" t="s">
        <v>222</v>
      </c>
      <c r="C57" s="237">
        <v>2623.5</v>
      </c>
      <c r="D57" s="113">
        <v>2296</v>
      </c>
      <c r="E57" s="114">
        <f>IF(C57&gt;=0.9*D57,D57,C57+0.1*D57)</f>
        <v>2296</v>
      </c>
      <c r="F57" s="115"/>
      <c r="G57" s="116">
        <f>E57+F57</f>
        <v>2296</v>
      </c>
      <c r="H57" s="117">
        <v>1.2821154945683249</v>
      </c>
      <c r="I57" s="115">
        <f>E57*H57</f>
        <v>2943.7371755288736</v>
      </c>
      <c r="J57" s="118"/>
      <c r="K57" s="119">
        <f>I57+J57</f>
        <v>2943.7371755288736</v>
      </c>
      <c r="L57" s="120"/>
      <c r="M57" s="121">
        <f>IF(D57&gt;C57,C57-D57,0)</f>
        <v>0</v>
      </c>
      <c r="N57" s="122">
        <f>IF(D57&lt;C57,C57-D57,0)</f>
        <v>327.5</v>
      </c>
      <c r="O57"/>
      <c r="P57"/>
    </row>
    <row r="58" spans="1:16" s="70" customFormat="1" ht="12.75" customHeight="1">
      <c r="A58" s="111" t="s">
        <v>151</v>
      </c>
      <c r="B58" s="112" t="s">
        <v>223</v>
      </c>
      <c r="C58" s="237">
        <v>111</v>
      </c>
      <c r="D58" s="113">
        <v>95</v>
      </c>
      <c r="E58" s="114">
        <f>IF(C58&gt;=0.9*D58,D58,C58+0.1*D58)</f>
        <v>95</v>
      </c>
      <c r="F58" s="115"/>
      <c r="G58" s="116">
        <f>E58+F58</f>
        <v>95</v>
      </c>
      <c r="H58" s="117">
        <v>1.2</v>
      </c>
      <c r="I58" s="115">
        <f>E58*H58</f>
        <v>114</v>
      </c>
      <c r="J58" s="118"/>
      <c r="K58" s="119">
        <f>I58+J58</f>
        <v>114</v>
      </c>
      <c r="L58" s="120"/>
      <c r="M58" s="121">
        <f>IF(D58&gt;C58,C58-D58,0)</f>
        <v>0</v>
      </c>
      <c r="N58" s="122">
        <f>IF(D58&lt;C58,C58-D58,0)</f>
        <v>16</v>
      </c>
      <c r="O58"/>
      <c r="P58"/>
    </row>
    <row r="59" spans="1:16" s="70" customFormat="1" ht="12.75" customHeight="1">
      <c r="A59" s="111" t="s">
        <v>151</v>
      </c>
      <c r="B59" s="112" t="s">
        <v>224</v>
      </c>
      <c r="C59" s="237">
        <v>691</v>
      </c>
      <c r="D59" s="113">
        <v>742</v>
      </c>
      <c r="E59" s="114">
        <f>IF(C59&gt;=0.9*D59,D59,C59+0.1*D59)</f>
        <v>742</v>
      </c>
      <c r="F59" s="115"/>
      <c r="G59" s="116">
        <f>E59+F59</f>
        <v>742</v>
      </c>
      <c r="H59" s="117">
        <v>1.322793053545586</v>
      </c>
      <c r="I59" s="115">
        <f>E59*H59</f>
        <v>981.5124457308249</v>
      </c>
      <c r="J59" s="118"/>
      <c r="K59" s="119">
        <f>I59+J59</f>
        <v>981.5124457308249</v>
      </c>
      <c r="L59" s="120"/>
      <c r="M59" s="121">
        <f>IF(D59&gt;C59,C59-D59,0)</f>
        <v>-51</v>
      </c>
      <c r="N59" s="122">
        <f>IF(D59&lt;C59,C59-D59,0)</f>
        <v>0</v>
      </c>
      <c r="O59"/>
      <c r="P59"/>
    </row>
    <row r="60" spans="1:16" ht="12.75" customHeight="1">
      <c r="A60" s="149" t="s">
        <v>234</v>
      </c>
      <c r="B60" s="124" t="s">
        <v>225</v>
      </c>
      <c r="C60" s="238">
        <v>41</v>
      </c>
      <c r="D60" s="125">
        <v>34</v>
      </c>
      <c r="E60" s="114">
        <f>IF(C60&gt;=0.9*D60,D60,C60+0.1*D60)</f>
        <v>34</v>
      </c>
      <c r="F60" s="126"/>
      <c r="G60" s="116">
        <f>E60+F60</f>
        <v>34</v>
      </c>
      <c r="H60" s="127">
        <v>1.2060975609756097</v>
      </c>
      <c r="I60" s="115">
        <f>E60*H60</f>
        <v>41.00731707317073</v>
      </c>
      <c r="J60" s="128"/>
      <c r="K60" s="119">
        <f>I60+J60</f>
        <v>41.00731707317073</v>
      </c>
      <c r="L60" s="129"/>
      <c r="M60" s="121">
        <f>IF(D60&gt;C60,C60-D60,0)</f>
        <v>0</v>
      </c>
      <c r="N60" s="122">
        <f>IF(D60&lt;C60,C60-D60,0)</f>
        <v>7</v>
      </c>
      <c r="O60"/>
      <c r="P60"/>
    </row>
    <row r="61" spans="1:16" s="70" customFormat="1" ht="12.75" customHeight="1" thickBot="1">
      <c r="A61" s="130" t="s">
        <v>151</v>
      </c>
      <c r="B61" s="131" t="s">
        <v>226</v>
      </c>
      <c r="C61" s="237">
        <v>5127</v>
      </c>
      <c r="D61" s="113">
        <v>4779</v>
      </c>
      <c r="E61" s="114">
        <f>IF(C61&lt;D61,C61,D61)</f>
        <v>4779</v>
      </c>
      <c r="F61" s="126"/>
      <c r="G61" s="116">
        <f>E61+F61</f>
        <v>4779</v>
      </c>
      <c r="H61" s="117">
        <v>1.237359079383655</v>
      </c>
      <c r="I61" s="115">
        <f>E61*H61</f>
        <v>5913.339040374488</v>
      </c>
      <c r="J61" s="132"/>
      <c r="K61" s="119">
        <f>I61+J61</f>
        <v>5913.339040374488</v>
      </c>
      <c r="L61" s="133"/>
      <c r="M61" s="121">
        <f>IF(D61&gt;C61,C61-D61,0)</f>
        <v>0</v>
      </c>
      <c r="N61" s="122">
        <f>IF(D61&lt;C61,C61-D61,0)</f>
        <v>348</v>
      </c>
      <c r="O61"/>
      <c r="P61"/>
    </row>
    <row r="62" spans="1:16" s="70" customFormat="1" ht="12.75" customHeight="1" thickBot="1">
      <c r="A62" s="134" t="s">
        <v>151</v>
      </c>
      <c r="B62" s="135" t="s">
        <v>71</v>
      </c>
      <c r="C62" s="239">
        <f>SUM(C57:C61)</f>
        <v>8593.5</v>
      </c>
      <c r="D62" s="136">
        <f>SUM(D57:D61)</f>
        <v>7946</v>
      </c>
      <c r="E62" s="136">
        <f>SUM(E57:E61)</f>
        <v>7946</v>
      </c>
      <c r="F62" s="137">
        <f>SUM(F57:F61)</f>
        <v>0</v>
      </c>
      <c r="G62" s="138">
        <f>SUM(G57:G61)</f>
        <v>7946</v>
      </c>
      <c r="H62" s="137"/>
      <c r="I62" s="137">
        <f>SUM(I57:I61)</f>
        <v>9993.595978707357</v>
      </c>
      <c r="J62" s="137">
        <f>SUM(J57:J61)</f>
        <v>0</v>
      </c>
      <c r="K62" s="139">
        <f>SUM(K57:K61)</f>
        <v>9993.595978707357</v>
      </c>
      <c r="L62" s="140">
        <f>ROUND(K62*$N$186/$K$176,0)</f>
        <v>244215</v>
      </c>
      <c r="M62" s="141">
        <f>SUM(M57:M61)</f>
        <v>-51</v>
      </c>
      <c r="N62" s="142">
        <f>SUM(N57:N61)</f>
        <v>698.5</v>
      </c>
      <c r="O62"/>
      <c r="P62"/>
    </row>
    <row r="63" spans="1:16" s="70" customFormat="1" ht="12.75" customHeight="1">
      <c r="A63" s="143" t="s">
        <v>235</v>
      </c>
      <c r="B63" s="112" t="s">
        <v>222</v>
      </c>
      <c r="C63" s="237">
        <v>2725.5</v>
      </c>
      <c r="D63" s="125">
        <v>2725.56</v>
      </c>
      <c r="E63" s="114">
        <f>IF(C63&gt;=0.9*D63,D63,C63+0.1*D63)</f>
        <v>2725.56</v>
      </c>
      <c r="F63" s="115"/>
      <c r="G63" s="116">
        <f>E63+F63</f>
        <v>2725.56</v>
      </c>
      <c r="H63" s="117">
        <v>1.3159236837277564</v>
      </c>
      <c r="I63" s="115">
        <f>E63*H63</f>
        <v>3586.6289554210234</v>
      </c>
      <c r="J63" s="118"/>
      <c r="K63" s="119">
        <f>I63+J63</f>
        <v>3586.6289554210234</v>
      </c>
      <c r="L63" s="120"/>
      <c r="M63" s="121">
        <f>IF(D63&gt;C63,C63-D63,0)</f>
        <v>-0.05999999999994543</v>
      </c>
      <c r="N63" s="122">
        <f>IF(D63&lt;C63,C63-D63,0)</f>
        <v>0</v>
      </c>
      <c r="O63"/>
      <c r="P63"/>
    </row>
    <row r="64" spans="1:16" s="70" customFormat="1" ht="12.75" customHeight="1">
      <c r="A64" s="144" t="s">
        <v>235</v>
      </c>
      <c r="B64" s="112" t="s">
        <v>223</v>
      </c>
      <c r="C64" s="237">
        <v>2</v>
      </c>
      <c r="D64" s="125">
        <v>5.07</v>
      </c>
      <c r="E64" s="114">
        <f>IF(C64&gt;=0.9*D64,D64,C64+0.1*D64)</f>
        <v>2.507</v>
      </c>
      <c r="F64" s="115"/>
      <c r="G64" s="116">
        <f>E64+F64</f>
        <v>2.507</v>
      </c>
      <c r="H64" s="117">
        <v>2.25</v>
      </c>
      <c r="I64" s="115">
        <f>E64*H64</f>
        <v>5.640750000000001</v>
      </c>
      <c r="J64" s="118"/>
      <c r="K64" s="119">
        <f>I64+J64</f>
        <v>5.640750000000001</v>
      </c>
      <c r="L64" s="120"/>
      <c r="M64" s="121">
        <f>IF(D64&gt;C64,C64-D64,0)</f>
        <v>-3.0700000000000003</v>
      </c>
      <c r="N64" s="122">
        <f>IF(D64&lt;C64,C64-D64,0)</f>
        <v>0</v>
      </c>
      <c r="O64"/>
      <c r="P64"/>
    </row>
    <row r="65" spans="1:16" s="70" customFormat="1" ht="12.75" customHeight="1">
      <c r="A65" s="144" t="s">
        <v>235</v>
      </c>
      <c r="B65" s="112" t="s">
        <v>224</v>
      </c>
      <c r="C65" s="237">
        <v>850</v>
      </c>
      <c r="D65" s="125">
        <v>1027.4747564599606</v>
      </c>
      <c r="E65" s="114">
        <f>IF(C65&gt;=0.9*D65,D65,C65+0.1*D65)</f>
        <v>952.747475645996</v>
      </c>
      <c r="F65" s="115"/>
      <c r="G65" s="116">
        <f>E65+F65</f>
        <v>952.747475645996</v>
      </c>
      <c r="H65" s="117">
        <v>1.0431176470588235</v>
      </c>
      <c r="I65" s="115">
        <f>E65*H65</f>
        <v>993.8277050370851</v>
      </c>
      <c r="J65" s="118"/>
      <c r="K65" s="119">
        <f>I65+J65</f>
        <v>993.8277050370851</v>
      </c>
      <c r="L65" s="120"/>
      <c r="M65" s="121">
        <f>IF(D65&gt;C65,C65-D65,0)</f>
        <v>-177.47475645996064</v>
      </c>
      <c r="N65" s="122">
        <f>IF(D65&lt;C65,C65-D65,0)</f>
        <v>0</v>
      </c>
      <c r="O65"/>
      <c r="P65"/>
    </row>
    <row r="66" spans="1:16" ht="12.75" customHeight="1">
      <c r="A66" s="123" t="s">
        <v>235</v>
      </c>
      <c r="B66" s="124" t="s">
        <v>225</v>
      </c>
      <c r="C66" s="238">
        <v>40</v>
      </c>
      <c r="D66" s="125">
        <v>55.14412441065784</v>
      </c>
      <c r="E66" s="114">
        <f>IF(C66&gt;=0.9*D66,D66,C66+0.1*D66)</f>
        <v>45.51441244106579</v>
      </c>
      <c r="F66" s="126"/>
      <c r="G66" s="116">
        <f>E66+F66</f>
        <v>45.51441244106579</v>
      </c>
      <c r="H66" s="127">
        <v>1.37125</v>
      </c>
      <c r="I66" s="115">
        <f>E66*H66</f>
        <v>62.411638059811466</v>
      </c>
      <c r="J66" s="128"/>
      <c r="K66" s="119">
        <f>I66+J66</f>
        <v>62.411638059811466</v>
      </c>
      <c r="L66" s="129"/>
      <c r="M66" s="121">
        <f>IF(D66&gt;C66,C66-D66,0)</f>
        <v>-15.144124410657838</v>
      </c>
      <c r="N66" s="122">
        <f>IF(D66&lt;C66,C66-D66,0)</f>
        <v>0</v>
      </c>
      <c r="O66"/>
      <c r="P66"/>
    </row>
    <row r="67" spans="1:16" s="70" customFormat="1" ht="12.75" customHeight="1" thickBot="1">
      <c r="A67" s="145" t="s">
        <v>235</v>
      </c>
      <c r="B67" s="131" t="s">
        <v>226</v>
      </c>
      <c r="C67" s="237">
        <v>4518.5</v>
      </c>
      <c r="D67" s="113">
        <v>3806.4429759166173</v>
      </c>
      <c r="E67" s="114">
        <f>IF(C67&lt;D67,C67,D67)</f>
        <v>3806.4429759166173</v>
      </c>
      <c r="F67" s="126"/>
      <c r="G67" s="116">
        <f>E67+F67</f>
        <v>3806.4429759166173</v>
      </c>
      <c r="H67" s="117">
        <v>1.3036494411862345</v>
      </c>
      <c r="I67" s="115">
        <f>E67*H67</f>
        <v>4962.267258460965</v>
      </c>
      <c r="J67" s="132"/>
      <c r="K67" s="119">
        <f>I67+J67</f>
        <v>4962.267258460965</v>
      </c>
      <c r="L67" s="133"/>
      <c r="M67" s="121">
        <f>IF(D67&gt;C67,C67-D67,0)</f>
        <v>0</v>
      </c>
      <c r="N67" s="122">
        <f>IF(D67&lt;C67,C67-D67,0)</f>
        <v>712.0570240833827</v>
      </c>
      <c r="O67"/>
      <c r="P67"/>
    </row>
    <row r="68" spans="1:16" s="70" customFormat="1" ht="12.75" customHeight="1" thickBot="1">
      <c r="A68" s="134" t="s">
        <v>235</v>
      </c>
      <c r="B68" s="135" t="s">
        <v>71</v>
      </c>
      <c r="C68" s="239">
        <f>SUM(C63:C67)</f>
        <v>8136</v>
      </c>
      <c r="D68" s="136">
        <f>SUM(D63:D67)</f>
        <v>7619.691856787236</v>
      </c>
      <c r="E68" s="136">
        <f>SUM(E63:E67)</f>
        <v>7532.771864003679</v>
      </c>
      <c r="F68" s="137">
        <f>SUM(F63:F67)</f>
        <v>0</v>
      </c>
      <c r="G68" s="138">
        <f>SUM(G63:G67)</f>
        <v>7532.771864003679</v>
      </c>
      <c r="H68" s="137"/>
      <c r="I68" s="137">
        <f>SUM(I63:I67)</f>
        <v>9610.776306978885</v>
      </c>
      <c r="J68" s="137">
        <f>SUM(J63:J67)</f>
        <v>0</v>
      </c>
      <c r="K68" s="139">
        <f>SUM(K63:K67)</f>
        <v>9610.776306978885</v>
      </c>
      <c r="L68" s="140">
        <f>ROUND(K68*$N$186/$K$176,0)</f>
        <v>234860</v>
      </c>
      <c r="M68" s="141">
        <f>SUM(M63:M67)</f>
        <v>-195.74888087061842</v>
      </c>
      <c r="N68" s="142">
        <f>SUM(N63:N67)</f>
        <v>712.0570240833827</v>
      </c>
      <c r="O68"/>
      <c r="P68"/>
    </row>
    <row r="69" spans="1:16" s="70" customFormat="1" ht="12.75" customHeight="1">
      <c r="A69" s="150" t="s">
        <v>236</v>
      </c>
      <c r="B69" s="112" t="s">
        <v>222</v>
      </c>
      <c r="C69" s="237">
        <v>6438.5</v>
      </c>
      <c r="D69" s="113">
        <v>6494.4859081878</v>
      </c>
      <c r="E69" s="114">
        <f>IF(C69&gt;=0.9*D69,D69,C69+0.1*D69)</f>
        <v>6494.4859081878</v>
      </c>
      <c r="F69" s="115"/>
      <c r="G69" s="116">
        <f>E69+F69</f>
        <v>6494.4859081878</v>
      </c>
      <c r="H69" s="117">
        <v>1.878639450182496</v>
      </c>
      <c r="I69" s="115">
        <f>E69*H69</f>
        <v>12200.797435775896</v>
      </c>
      <c r="J69" s="118"/>
      <c r="K69" s="119">
        <f>I69+J69</f>
        <v>12200.797435775896</v>
      </c>
      <c r="L69" s="120"/>
      <c r="M69" s="121">
        <f>IF(D69&gt;C69,C69-D69,0)</f>
        <v>-55.985908187800305</v>
      </c>
      <c r="N69" s="122">
        <f>IF(D69&lt;C69,C69-D69,0)</f>
        <v>0</v>
      </c>
      <c r="O69"/>
      <c r="P69"/>
    </row>
    <row r="70" spans="1:16" s="70" customFormat="1" ht="12.75" customHeight="1">
      <c r="A70" s="151" t="s">
        <v>236</v>
      </c>
      <c r="B70" s="112" t="s">
        <v>223</v>
      </c>
      <c r="C70" s="237">
        <v>0</v>
      </c>
      <c r="D70" s="113">
        <v>0</v>
      </c>
      <c r="E70" s="114">
        <f>IF(C70&gt;=0.9*D70,D70,C70+0.1*D70)</f>
        <v>0</v>
      </c>
      <c r="F70" s="115"/>
      <c r="G70" s="116">
        <f>E70+F70</f>
        <v>0</v>
      </c>
      <c r="H70" s="117"/>
      <c r="I70" s="115">
        <f>E70*H70</f>
        <v>0</v>
      </c>
      <c r="J70" s="118"/>
      <c r="K70" s="119">
        <f>I70+J70</f>
        <v>0</v>
      </c>
      <c r="L70" s="120"/>
      <c r="M70" s="121">
        <f>IF(D70&gt;C70,C70-D70,0)</f>
        <v>0</v>
      </c>
      <c r="N70" s="122">
        <f>IF(D70&lt;C70,C70-D70,0)</f>
        <v>0</v>
      </c>
      <c r="O70"/>
      <c r="P70"/>
    </row>
    <row r="71" spans="1:16" s="70" customFormat="1" ht="12.75" customHeight="1">
      <c r="A71" s="151" t="s">
        <v>236</v>
      </c>
      <c r="B71" s="112" t="s">
        <v>224</v>
      </c>
      <c r="C71" s="237">
        <v>2715.5</v>
      </c>
      <c r="D71" s="125">
        <v>2444.4065955110373</v>
      </c>
      <c r="E71" s="114">
        <f>IF(C71&gt;=0.9*D71,D71,C71+0.1*D71)</f>
        <v>2444.4065955110373</v>
      </c>
      <c r="F71" s="115"/>
      <c r="G71" s="116">
        <f>E71+F71</f>
        <v>2444.4065955110373</v>
      </c>
      <c r="H71" s="117">
        <v>1.850513717547413</v>
      </c>
      <c r="I71" s="115">
        <f>E71*H71</f>
        <v>4523.407936256544</v>
      </c>
      <c r="J71" s="118"/>
      <c r="K71" s="119">
        <f>I71+J71</f>
        <v>4523.407936256544</v>
      </c>
      <c r="L71" s="120"/>
      <c r="M71" s="121">
        <f>IF(D71&gt;C71,C71-D71,0)</f>
        <v>0</v>
      </c>
      <c r="N71" s="122">
        <f>IF(D71&lt;C71,C71-D71,0)</f>
        <v>271.09340448896273</v>
      </c>
      <c r="O71"/>
      <c r="P71"/>
    </row>
    <row r="72" spans="1:16" ht="12.75" customHeight="1">
      <c r="A72" s="123" t="s">
        <v>236</v>
      </c>
      <c r="B72" s="124" t="s">
        <v>225</v>
      </c>
      <c r="C72" s="238">
        <v>455.5</v>
      </c>
      <c r="D72" s="125">
        <v>510.7916417022618</v>
      </c>
      <c r="E72" s="114">
        <f>IF(C72&gt;=0.9*D72,D72,C72+0.1*D72)</f>
        <v>506.5791641702262</v>
      </c>
      <c r="F72" s="126"/>
      <c r="G72" s="116">
        <f>E72+F72</f>
        <v>506.5791641702262</v>
      </c>
      <c r="H72" s="127">
        <v>1.937826564215148</v>
      </c>
      <c r="I72" s="115">
        <f>E72*H72</f>
        <v>981.6625612069708</v>
      </c>
      <c r="J72" s="128"/>
      <c r="K72" s="119">
        <f>I72+J72</f>
        <v>981.6625612069708</v>
      </c>
      <c r="L72" s="129"/>
      <c r="M72" s="121">
        <f>IF(D72&gt;C72,C72-D72,0)</f>
        <v>-55.29164170226181</v>
      </c>
      <c r="N72" s="122">
        <f>IF(D72&lt;C72,C72-D72,0)</f>
        <v>0</v>
      </c>
      <c r="O72"/>
      <c r="P72"/>
    </row>
    <row r="73" spans="1:14" s="70" customFormat="1" ht="12.75" customHeight="1" thickBot="1">
      <c r="A73" s="152" t="s">
        <v>236</v>
      </c>
      <c r="B73" s="131" t="s">
        <v>226</v>
      </c>
      <c r="C73" s="237">
        <v>12136</v>
      </c>
      <c r="D73" s="113">
        <v>11500.364498205729</v>
      </c>
      <c r="E73" s="114">
        <f>IF(C73&lt;D73,C73,D73)</f>
        <v>11500.364498205729</v>
      </c>
      <c r="F73" s="126"/>
      <c r="G73" s="116">
        <f>E73+F73</f>
        <v>11500.364498205729</v>
      </c>
      <c r="H73" s="117">
        <v>1.8738463991430456</v>
      </c>
      <c r="I73" s="115">
        <f>E73*H73</f>
        <v>21549.916603795322</v>
      </c>
      <c r="J73" s="132"/>
      <c r="K73" s="119">
        <f>I73+J73</f>
        <v>21549.916603795322</v>
      </c>
      <c r="L73" s="133"/>
      <c r="M73" s="121">
        <f>IF(D73&gt;C73,C73-D73,0)</f>
        <v>0</v>
      </c>
      <c r="N73" s="122">
        <f>IF(D73&lt;C73,C73-D73,0)</f>
        <v>635.6355017942715</v>
      </c>
    </row>
    <row r="74" spans="1:14" s="70" customFormat="1" ht="12.75" customHeight="1" thickBot="1">
      <c r="A74" s="134" t="s">
        <v>237</v>
      </c>
      <c r="B74" s="135" t="s">
        <v>71</v>
      </c>
      <c r="C74" s="239">
        <f>SUM(C69:C73)</f>
        <v>21745.5</v>
      </c>
      <c r="D74" s="136">
        <f>SUM(D69:D73)</f>
        <v>20950.048643606828</v>
      </c>
      <c r="E74" s="136">
        <f>SUM(E69:E73)</f>
        <v>20945.83616607479</v>
      </c>
      <c r="F74" s="137">
        <f>SUM(F69:F73)</f>
        <v>0</v>
      </c>
      <c r="G74" s="138">
        <f>SUM(G69:G73)</f>
        <v>20945.83616607479</v>
      </c>
      <c r="H74" s="137"/>
      <c r="I74" s="137">
        <f>SUM(I69:I73)</f>
        <v>39255.784537034735</v>
      </c>
      <c r="J74" s="137">
        <f>SUM(J69:J73)</f>
        <v>0</v>
      </c>
      <c r="K74" s="139">
        <f>SUM(K69:K73)</f>
        <v>39255.784537034735</v>
      </c>
      <c r="L74" s="140">
        <f>ROUND(K74*$N$186/$K$176,0)</f>
        <v>959301</v>
      </c>
      <c r="M74" s="141">
        <f>SUM(M69:M73)</f>
        <v>-111.27754989006212</v>
      </c>
      <c r="N74" s="142">
        <f>SUM(N69:N73)</f>
        <v>906.7289062832342</v>
      </c>
    </row>
    <row r="75" spans="1:14" s="70" customFormat="1" ht="12.75" customHeight="1">
      <c r="A75" s="143" t="s">
        <v>90</v>
      </c>
      <c r="B75" s="112" t="s">
        <v>222</v>
      </c>
      <c r="C75" s="237">
        <v>1225</v>
      </c>
      <c r="D75" s="113">
        <v>1048.5231121254606</v>
      </c>
      <c r="E75" s="114">
        <f>IF(C75&gt;=0.9*D75,D75,C75+0.1*D75)</f>
        <v>1048.5231121254606</v>
      </c>
      <c r="F75" s="115"/>
      <c r="G75" s="116">
        <f>E75+F75</f>
        <v>1048.5231121254606</v>
      </c>
      <c r="H75" s="117">
        <v>2.702857142857143</v>
      </c>
      <c r="I75" s="115">
        <f>E75*H75</f>
        <v>2834.008183059102</v>
      </c>
      <c r="J75" s="118"/>
      <c r="K75" s="119">
        <f>I75+J75</f>
        <v>2834.008183059102</v>
      </c>
      <c r="L75" s="120"/>
      <c r="M75" s="121">
        <f>IF(D75&gt;C75,C75-D75,0)</f>
        <v>0</v>
      </c>
      <c r="N75" s="122">
        <f>IF(D75&lt;C75,C75-D75,0)</f>
        <v>176.47688787453944</v>
      </c>
    </row>
    <row r="76" spans="1:14" s="70" customFormat="1" ht="12.75" customHeight="1">
      <c r="A76" s="144" t="s">
        <v>90</v>
      </c>
      <c r="B76" s="112" t="s">
        <v>223</v>
      </c>
      <c r="C76" s="237">
        <v>0</v>
      </c>
      <c r="D76" s="113">
        <v>0</v>
      </c>
      <c r="E76" s="114">
        <f>IF(C76&gt;=0.9*D76,D76,C76+0.1*D76)</f>
        <v>0</v>
      </c>
      <c r="F76" s="115"/>
      <c r="G76" s="116">
        <f>E76+F76</f>
        <v>0</v>
      </c>
      <c r="H76" s="117"/>
      <c r="I76" s="115">
        <f>E76*H76</f>
        <v>0</v>
      </c>
      <c r="J76" s="118"/>
      <c r="K76" s="119">
        <f>I76+J76</f>
        <v>0</v>
      </c>
      <c r="L76" s="120"/>
      <c r="M76" s="121">
        <f>IF(D76&gt;C76,C76-D76,0)</f>
        <v>0</v>
      </c>
      <c r="N76" s="122">
        <f>IF(D76&lt;C76,C76-D76,0)</f>
        <v>0</v>
      </c>
    </row>
    <row r="77" spans="1:14" s="70" customFormat="1" ht="12.75" customHeight="1">
      <c r="A77" s="144" t="s">
        <v>90</v>
      </c>
      <c r="B77" s="112" t="s">
        <v>224</v>
      </c>
      <c r="C77" s="237">
        <v>376</v>
      </c>
      <c r="D77" s="113">
        <v>329.8359100719622</v>
      </c>
      <c r="E77" s="114">
        <f>IF(C77&gt;=0.9*D77,D77,C77+0.1*D77)</f>
        <v>329.8359100719622</v>
      </c>
      <c r="F77" s="115"/>
      <c r="G77" s="116">
        <f>E77+F77</f>
        <v>329.8359100719622</v>
      </c>
      <c r="H77" s="117">
        <v>2.7425531914893617</v>
      </c>
      <c r="I77" s="115">
        <f>E77*H77</f>
        <v>904.592527835658</v>
      </c>
      <c r="J77" s="118"/>
      <c r="K77" s="119">
        <f>I77+J77</f>
        <v>904.592527835658</v>
      </c>
      <c r="L77" s="120"/>
      <c r="M77" s="121">
        <f>IF(D77&gt;C77,C77-D77,0)</f>
        <v>0</v>
      </c>
      <c r="N77" s="122">
        <f>IF(D77&lt;C77,C77-D77,0)</f>
        <v>46.16408992803781</v>
      </c>
    </row>
    <row r="78" spans="1:14" ht="12.75" customHeight="1">
      <c r="A78" s="123" t="s">
        <v>90</v>
      </c>
      <c r="B78" s="124" t="s">
        <v>225</v>
      </c>
      <c r="C78" s="238">
        <v>171</v>
      </c>
      <c r="D78" s="125">
        <v>193.0816453148888</v>
      </c>
      <c r="E78" s="114">
        <f>IF(C78&gt;=0.9*D78,D78,C78+0.1*D78)</f>
        <v>190.30816453148887</v>
      </c>
      <c r="F78" s="126"/>
      <c r="G78" s="116">
        <f>E78+F78</f>
        <v>190.30816453148887</v>
      </c>
      <c r="H78" s="127">
        <v>2.783918128654971</v>
      </c>
      <c r="I78" s="115">
        <f>E78*H78</f>
        <v>529.8023492702648</v>
      </c>
      <c r="J78" s="128"/>
      <c r="K78" s="119">
        <f>I78+J78</f>
        <v>529.8023492702648</v>
      </c>
      <c r="L78" s="129"/>
      <c r="M78" s="121">
        <f>IF(D78&gt;C78,C78-D78,0)</f>
        <v>-22.08164531488879</v>
      </c>
      <c r="N78" s="122">
        <f>IF(D78&lt;C78,C78-D78,0)</f>
        <v>0</v>
      </c>
    </row>
    <row r="79" spans="1:14" s="70" customFormat="1" ht="12.75" customHeight="1" thickBot="1">
      <c r="A79" s="145" t="s">
        <v>90</v>
      </c>
      <c r="B79" s="131" t="s">
        <v>226</v>
      </c>
      <c r="C79" s="237">
        <v>1803</v>
      </c>
      <c r="D79" s="113">
        <v>1751.7885152408546</v>
      </c>
      <c r="E79" s="114">
        <f>IF(C79&lt;D79,C79,D79)</f>
        <v>1751.7885152408546</v>
      </c>
      <c r="F79" s="126"/>
      <c r="G79" s="116">
        <f>E79+F79</f>
        <v>1751.7885152408546</v>
      </c>
      <c r="H79" s="117">
        <v>2.7289517470881863</v>
      </c>
      <c r="I79" s="115">
        <f>E79*H79</f>
        <v>4780.54632919555</v>
      </c>
      <c r="J79" s="132"/>
      <c r="K79" s="119">
        <f>I79+J79</f>
        <v>4780.54632919555</v>
      </c>
      <c r="L79" s="133"/>
      <c r="M79" s="121">
        <f>IF(D79&gt;C79,C79-D79,0)</f>
        <v>0</v>
      </c>
      <c r="N79" s="122">
        <f>IF(D79&lt;C79,C79-D79,0)</f>
        <v>51.21148475914538</v>
      </c>
    </row>
    <row r="80" spans="1:14" s="70" customFormat="1" ht="12.75" customHeight="1" thickBot="1">
      <c r="A80" s="134" t="s">
        <v>90</v>
      </c>
      <c r="B80" s="135" t="s">
        <v>71</v>
      </c>
      <c r="C80" s="239">
        <f>SUM(C75:C79)</f>
        <v>3575</v>
      </c>
      <c r="D80" s="136">
        <f>SUM(D75:D79)</f>
        <v>3323.2291827531662</v>
      </c>
      <c r="E80" s="136">
        <f>SUM(E75:E79)</f>
        <v>3320.4557019697663</v>
      </c>
      <c r="F80" s="137">
        <f>SUM(F75:F79)</f>
        <v>0</v>
      </c>
      <c r="G80" s="138">
        <f>SUM(G75:G79)</f>
        <v>3320.4557019697663</v>
      </c>
      <c r="H80" s="137"/>
      <c r="I80" s="137">
        <f>SUM(I75:I79)</f>
        <v>9048.949389360576</v>
      </c>
      <c r="J80" s="137">
        <f>SUM(J75:J79)</f>
        <v>0</v>
      </c>
      <c r="K80" s="139">
        <f>SUM(K75:K79)</f>
        <v>9048.949389360576</v>
      </c>
      <c r="L80" s="140">
        <f>ROUND(K80*$N$186/$K$176,0)</f>
        <v>221131</v>
      </c>
      <c r="M80" s="141">
        <f>SUM(M75:M79)</f>
        <v>-22.08164531488879</v>
      </c>
      <c r="N80" s="142">
        <f>SUM(N75:N79)</f>
        <v>273.85246256172263</v>
      </c>
    </row>
    <row r="81" spans="1:14" s="70" customFormat="1" ht="12.75" customHeight="1">
      <c r="A81" s="143" t="s">
        <v>238</v>
      </c>
      <c r="B81" s="112" t="s">
        <v>222</v>
      </c>
      <c r="C81" s="237">
        <v>4752</v>
      </c>
      <c r="D81" s="113">
        <v>4391.0023504995415</v>
      </c>
      <c r="E81" s="114">
        <f>IF(C81&gt;=0.9*D81,D81,C81+0.1*D81)</f>
        <v>4391.0023504995415</v>
      </c>
      <c r="F81" s="115"/>
      <c r="G81" s="116">
        <f>E81+F81</f>
        <v>4391.0023504995415</v>
      </c>
      <c r="H81" s="117">
        <v>1.4689162457912457</v>
      </c>
      <c r="I81" s="115">
        <f>E81*H81</f>
        <v>6450.014687956322</v>
      </c>
      <c r="J81" s="118"/>
      <c r="K81" s="119">
        <f>I81+J81</f>
        <v>6450.014687956322</v>
      </c>
      <c r="L81" s="120"/>
      <c r="M81" s="121">
        <f>IF(D81&gt;C81,C81-D81,0)</f>
        <v>0</v>
      </c>
      <c r="N81" s="122">
        <f>IF(D81&lt;C81,C81-D81,0)</f>
        <v>360.99764950045846</v>
      </c>
    </row>
    <row r="82" spans="1:14" s="70" customFormat="1" ht="12.75" customHeight="1">
      <c r="A82" s="144" t="s">
        <v>238</v>
      </c>
      <c r="B82" s="112" t="s">
        <v>223</v>
      </c>
      <c r="C82" s="237">
        <v>310</v>
      </c>
      <c r="D82" s="113">
        <v>390.4407479533594</v>
      </c>
      <c r="E82" s="114">
        <f>IF(C82&gt;=0.9*D82,D82,C82+0.1*D82)</f>
        <v>349.044074795336</v>
      </c>
      <c r="F82" s="115"/>
      <c r="G82" s="116">
        <f>E82+F82</f>
        <v>349.044074795336</v>
      </c>
      <c r="H82" s="117">
        <v>1.027741935483871</v>
      </c>
      <c r="I82" s="115">
        <f>E82*H82</f>
        <v>358.7272329993356</v>
      </c>
      <c r="J82" s="118"/>
      <c r="K82" s="119">
        <f>I82+J82</f>
        <v>358.7272329993356</v>
      </c>
      <c r="L82" s="120"/>
      <c r="M82" s="121">
        <f>IF(D82&gt;C82,C82-D82,0)</f>
        <v>-80.44074795335939</v>
      </c>
      <c r="N82" s="122">
        <f>IF(D82&lt;C82,C82-D82,0)</f>
        <v>0</v>
      </c>
    </row>
    <row r="83" spans="1:14" s="70" customFormat="1" ht="12.75" customHeight="1">
      <c r="A83" s="144" t="s">
        <v>238</v>
      </c>
      <c r="B83" s="112" t="s">
        <v>224</v>
      </c>
      <c r="C83" s="237">
        <v>1544</v>
      </c>
      <c r="D83" s="113">
        <v>1329.5605454573792</v>
      </c>
      <c r="E83" s="114">
        <f>IF(C83&gt;=0.9*D83,D83,C83+0.1*D83)</f>
        <v>1329.5605454573792</v>
      </c>
      <c r="F83" s="115"/>
      <c r="G83" s="116">
        <f>E83+F83</f>
        <v>1329.5605454573792</v>
      </c>
      <c r="H83" s="117">
        <v>1.4128691709844559</v>
      </c>
      <c r="I83" s="115">
        <f>E83*H83</f>
        <v>1878.4951056340083</v>
      </c>
      <c r="J83" s="118"/>
      <c r="K83" s="119">
        <f>I83+J83</f>
        <v>1878.4951056340083</v>
      </c>
      <c r="L83" s="120"/>
      <c r="M83" s="121">
        <f>IF(D83&gt;C83,C83-D83,0)</f>
        <v>0</v>
      </c>
      <c r="N83" s="122">
        <f>IF(D83&lt;C83,C83-D83,0)</f>
        <v>214.43945454262075</v>
      </c>
    </row>
    <row r="84" spans="1:14" ht="12.75" customHeight="1">
      <c r="A84" s="123" t="s">
        <v>238</v>
      </c>
      <c r="B84" s="124" t="s">
        <v>225</v>
      </c>
      <c r="C84" s="238">
        <v>171</v>
      </c>
      <c r="D84" s="125">
        <v>181.14596759908164</v>
      </c>
      <c r="E84" s="114">
        <f>IF(C84&gt;=0.9*D84,D84,C84+0.1*D84)</f>
        <v>181.14596759908164</v>
      </c>
      <c r="F84" s="126"/>
      <c r="G84" s="116">
        <f>E84+F84</f>
        <v>181.14596759908164</v>
      </c>
      <c r="H84" s="127">
        <v>1.4567836257309943</v>
      </c>
      <c r="I84" s="115">
        <f>E84*H84</f>
        <v>263.8904794655394</v>
      </c>
      <c r="J84" s="128"/>
      <c r="K84" s="119">
        <f>I84+J84</f>
        <v>263.8904794655394</v>
      </c>
      <c r="L84" s="129"/>
      <c r="M84" s="121">
        <f>IF(D84&gt;C84,C84-D84,0)</f>
        <v>-10.145967599081644</v>
      </c>
      <c r="N84" s="122">
        <f>IF(D84&lt;C84,C84-D84,0)</f>
        <v>0</v>
      </c>
    </row>
    <row r="85" spans="1:14" s="70" customFormat="1" ht="12.75" customHeight="1" thickBot="1">
      <c r="A85" s="145" t="s">
        <v>238</v>
      </c>
      <c r="B85" s="131" t="s">
        <v>226</v>
      </c>
      <c r="C85" s="237">
        <v>8995</v>
      </c>
      <c r="D85" s="113">
        <v>8915.3766015242</v>
      </c>
      <c r="E85" s="114">
        <f>IF(C85&lt;D85,C85,D85)</f>
        <v>8915.3766015242</v>
      </c>
      <c r="F85" s="126"/>
      <c r="G85" s="116">
        <f>E85+F85</f>
        <v>8915.3766015242</v>
      </c>
      <c r="H85" s="117">
        <v>1.3795853251806558</v>
      </c>
      <c r="I85" s="115">
        <f>E85*H85</f>
        <v>12299.522727921772</v>
      </c>
      <c r="J85" s="132"/>
      <c r="K85" s="119">
        <f>I85+J85</f>
        <v>12299.522727921772</v>
      </c>
      <c r="L85" s="133"/>
      <c r="M85" s="121">
        <f>IF(D85&gt;C85,C85-D85,0)</f>
        <v>0</v>
      </c>
      <c r="N85" s="122">
        <f>IF(D85&lt;C85,C85-D85,0)</f>
        <v>79.62339847580006</v>
      </c>
    </row>
    <row r="86" spans="1:14" s="70" customFormat="1" ht="12.75" customHeight="1" thickBot="1">
      <c r="A86" s="134" t="s">
        <v>238</v>
      </c>
      <c r="B86" s="135" t="s">
        <v>71</v>
      </c>
      <c r="C86" s="239">
        <f>SUM(C81:C85)</f>
        <v>15772</v>
      </c>
      <c r="D86" s="136">
        <f>SUM(D81:D85)</f>
        <v>15207.526213033561</v>
      </c>
      <c r="E86" s="136">
        <f>SUM(E81:E85)</f>
        <v>15166.12953987554</v>
      </c>
      <c r="F86" s="137">
        <f>SUM(F81:F85)</f>
        <v>0</v>
      </c>
      <c r="G86" s="138">
        <f>SUM(G81:G85)</f>
        <v>15166.12953987554</v>
      </c>
      <c r="H86" s="137"/>
      <c r="I86" s="137">
        <f>SUM(I81:I85)</f>
        <v>21250.65023397698</v>
      </c>
      <c r="J86" s="137">
        <f>SUM(J81:J85)</f>
        <v>0</v>
      </c>
      <c r="K86" s="139">
        <f>SUM(K81:K85)</f>
        <v>21250.65023397698</v>
      </c>
      <c r="L86" s="140">
        <f>ROUND(K86*$N$186/$K$176,0)</f>
        <v>519306</v>
      </c>
      <c r="M86" s="141">
        <f>SUM(M81:M85)</f>
        <v>-90.58671555244104</v>
      </c>
      <c r="N86" s="142">
        <f>SUM(N81:N85)</f>
        <v>655.0605025188793</v>
      </c>
    </row>
    <row r="87" spans="1:14" s="70" customFormat="1" ht="12.75" customHeight="1">
      <c r="A87" s="147" t="s">
        <v>239</v>
      </c>
      <c r="B87" s="112" t="s">
        <v>222</v>
      </c>
      <c r="C87" s="237">
        <v>2583.5</v>
      </c>
      <c r="D87" s="113">
        <v>2608</v>
      </c>
      <c r="E87" s="114">
        <f>IF(C87&gt;=0.9*D87,D87,C87+0.1*D87)</f>
        <v>2608</v>
      </c>
      <c r="F87" s="115"/>
      <c r="G87" s="116">
        <f>E87+F87</f>
        <v>2608</v>
      </c>
      <c r="H87" s="117">
        <v>1.4829069092316625</v>
      </c>
      <c r="I87" s="115">
        <f>E87*H87</f>
        <v>3867.4212192761756</v>
      </c>
      <c r="J87" s="118"/>
      <c r="K87" s="119">
        <f>I87+J87</f>
        <v>3867.4212192761756</v>
      </c>
      <c r="L87" s="120"/>
      <c r="M87" s="121">
        <f>IF(D87&gt;C87,C87-D87,0)</f>
        <v>-24.5</v>
      </c>
      <c r="N87" s="122">
        <f>IF(D87&lt;C87,C87-D87,0)</f>
        <v>0</v>
      </c>
    </row>
    <row r="88" spans="1:14" s="70" customFormat="1" ht="12.75" customHeight="1">
      <c r="A88" s="111" t="s">
        <v>239</v>
      </c>
      <c r="B88" s="112" t="s">
        <v>223</v>
      </c>
      <c r="C88" s="237">
        <v>80</v>
      </c>
      <c r="D88" s="113">
        <v>80</v>
      </c>
      <c r="E88" s="114">
        <f>IF(C88&gt;=0.9*D88,D88,C88+0.1*D88)</f>
        <v>80</v>
      </c>
      <c r="F88" s="115"/>
      <c r="G88" s="116">
        <f>E88+F88</f>
        <v>80</v>
      </c>
      <c r="H88" s="117">
        <v>1.2</v>
      </c>
      <c r="I88" s="115">
        <f>E88*H88</f>
        <v>96</v>
      </c>
      <c r="J88" s="118"/>
      <c r="K88" s="119">
        <f>I88+J88</f>
        <v>96</v>
      </c>
      <c r="L88" s="120"/>
      <c r="M88" s="121">
        <f>IF(D88&gt;C88,C88-D88,0)</f>
        <v>0</v>
      </c>
      <c r="N88" s="122">
        <f>IF(D88&lt;C88,C88-D88,0)</f>
        <v>0</v>
      </c>
    </row>
    <row r="89" spans="1:14" s="70" customFormat="1" ht="12.75" customHeight="1">
      <c r="A89" s="111" t="s">
        <v>239</v>
      </c>
      <c r="B89" s="112" t="s">
        <v>224</v>
      </c>
      <c r="C89" s="237">
        <v>789.5</v>
      </c>
      <c r="D89" s="113">
        <v>818</v>
      </c>
      <c r="E89" s="114">
        <f>IF(C89&gt;=0.9*D89,D89,C89+0.1*D89)</f>
        <v>818</v>
      </c>
      <c r="F89" s="115"/>
      <c r="G89" s="116">
        <f>E89+F89</f>
        <v>818</v>
      </c>
      <c r="H89" s="117">
        <v>1.3025079164027864</v>
      </c>
      <c r="I89" s="115">
        <f>E89*H89</f>
        <v>1065.4514756174792</v>
      </c>
      <c r="J89" s="118"/>
      <c r="K89" s="119">
        <f>I89+J89</f>
        <v>1065.4514756174792</v>
      </c>
      <c r="L89" s="120"/>
      <c r="M89" s="121">
        <f>IF(D89&gt;C89,C89-D89,0)</f>
        <v>-28.5</v>
      </c>
      <c r="N89" s="122">
        <f>IF(D89&lt;C89,C89-D89,0)</f>
        <v>0</v>
      </c>
    </row>
    <row r="90" spans="1:14" ht="12.75" customHeight="1">
      <c r="A90" s="123" t="s">
        <v>239</v>
      </c>
      <c r="B90" s="124" t="s">
        <v>225</v>
      </c>
      <c r="C90" s="238">
        <v>63.5</v>
      </c>
      <c r="D90" s="125">
        <v>106</v>
      </c>
      <c r="E90" s="114">
        <f>IF(C90&gt;=0.9*D90,D90,C90+0.1*D90)</f>
        <v>74.1</v>
      </c>
      <c r="F90" s="126"/>
      <c r="G90" s="116">
        <f>E90+F90</f>
        <v>74.1</v>
      </c>
      <c r="H90" s="127">
        <v>1.5988976377952757</v>
      </c>
      <c r="I90" s="115">
        <f>E90*H90</f>
        <v>118.47831496062992</v>
      </c>
      <c r="J90" s="128"/>
      <c r="K90" s="119">
        <f>I90+J90</f>
        <v>118.47831496062992</v>
      </c>
      <c r="L90" s="129"/>
      <c r="M90" s="121">
        <f>IF(D90&gt;C90,C90-D90,0)</f>
        <v>-42.5</v>
      </c>
      <c r="N90" s="122">
        <f>IF(D90&lt;C90,C90-D90,0)</f>
        <v>0</v>
      </c>
    </row>
    <row r="91" spans="1:14" s="70" customFormat="1" ht="12.75" customHeight="1" thickBot="1">
      <c r="A91" s="130" t="s">
        <v>239</v>
      </c>
      <c r="B91" s="131" t="s">
        <v>226</v>
      </c>
      <c r="C91" s="237">
        <v>4999.5</v>
      </c>
      <c r="D91" s="113">
        <v>5273</v>
      </c>
      <c r="E91" s="114">
        <f>IF(C91&lt;D91,C91,D91)</f>
        <v>4999.5</v>
      </c>
      <c r="F91" s="126"/>
      <c r="G91" s="116">
        <f>E91+F91</f>
        <v>4999.5</v>
      </c>
      <c r="H91" s="117">
        <v>1.4192239223922392</v>
      </c>
      <c r="I91" s="115">
        <f>E91*H91</f>
        <v>7095.41</v>
      </c>
      <c r="J91" s="132"/>
      <c r="K91" s="119">
        <f>I91+J91</f>
        <v>7095.41</v>
      </c>
      <c r="L91" s="133"/>
      <c r="M91" s="121">
        <f>IF(D91&gt;C91,C91-D91,0)</f>
        <v>-273.5</v>
      </c>
      <c r="N91" s="122">
        <f>IF(D91&lt;C91,C91-D91,0)</f>
        <v>0</v>
      </c>
    </row>
    <row r="92" spans="1:14" s="70" customFormat="1" ht="12.75" customHeight="1" thickBot="1">
      <c r="A92" s="134" t="s">
        <v>239</v>
      </c>
      <c r="B92" s="135" t="s">
        <v>71</v>
      </c>
      <c r="C92" s="239">
        <f>SUM(C87:C91)</f>
        <v>8516</v>
      </c>
      <c r="D92" s="136">
        <f>SUM(D87:D91)</f>
        <v>8885</v>
      </c>
      <c r="E92" s="136">
        <f>SUM(E87:E91)</f>
        <v>8579.6</v>
      </c>
      <c r="F92" s="137">
        <f>SUM(F87:F91)</f>
        <v>0</v>
      </c>
      <c r="G92" s="138">
        <f>SUM(G87:G91)</f>
        <v>8579.6</v>
      </c>
      <c r="H92" s="137"/>
      <c r="I92" s="137">
        <f>SUM(I87:I91)</f>
        <v>12242.761009854285</v>
      </c>
      <c r="J92" s="137">
        <f>SUM(J87:J91)</f>
        <v>0</v>
      </c>
      <c r="K92" s="139">
        <f>SUM(K87:K91)</f>
        <v>12242.761009854285</v>
      </c>
      <c r="L92" s="140">
        <f>ROUND(K92*$N$186/$K$176,0)</f>
        <v>299179</v>
      </c>
      <c r="M92" s="141">
        <f>SUM(M87:M91)</f>
        <v>-369</v>
      </c>
      <c r="N92" s="142">
        <f>SUM(N87:N91)</f>
        <v>0</v>
      </c>
    </row>
    <row r="93" spans="1:14" s="70" customFormat="1" ht="12.75" customHeight="1">
      <c r="A93" s="143" t="s">
        <v>240</v>
      </c>
      <c r="B93" s="112" t="s">
        <v>222</v>
      </c>
      <c r="C93" s="237">
        <v>3529</v>
      </c>
      <c r="D93" s="113">
        <v>3225.0199172258494</v>
      </c>
      <c r="E93" s="114">
        <f>IF(C93&gt;=0.9*D93,D93,C93+0.1*D93)</f>
        <v>3225.0199172258494</v>
      </c>
      <c r="F93" s="115"/>
      <c r="G93" s="116">
        <f>E93+F93</f>
        <v>3225.0199172258494</v>
      </c>
      <c r="H93" s="117">
        <v>1.6837149334088977</v>
      </c>
      <c r="I93" s="115">
        <f>E93*H93</f>
        <v>5430.01419517429</v>
      </c>
      <c r="J93" s="118"/>
      <c r="K93" s="119">
        <f>I93+J93</f>
        <v>5430.01419517429</v>
      </c>
      <c r="L93" s="120"/>
      <c r="M93" s="121">
        <f>IF(D93&gt;C93,C93-D93,0)</f>
        <v>0</v>
      </c>
      <c r="N93" s="122">
        <f>IF(D93&lt;C93,C93-D93,0)</f>
        <v>303.98008277415056</v>
      </c>
    </row>
    <row r="94" spans="1:14" s="70" customFormat="1" ht="12.75" customHeight="1">
      <c r="A94" s="144" t="s">
        <v>240</v>
      </c>
      <c r="B94" s="112" t="s">
        <v>223</v>
      </c>
      <c r="C94" s="237">
        <v>0</v>
      </c>
      <c r="D94" s="113">
        <v>0</v>
      </c>
      <c r="E94" s="114">
        <f>IF(C94&gt;=0.9*D94,D94,C94+0.1*D94)</f>
        <v>0</v>
      </c>
      <c r="F94" s="115"/>
      <c r="G94" s="116">
        <f>E94+F94</f>
        <v>0</v>
      </c>
      <c r="H94" s="117"/>
      <c r="I94" s="115">
        <f>E94*H94</f>
        <v>0</v>
      </c>
      <c r="J94" s="118"/>
      <c r="K94" s="119">
        <f>I94+J94</f>
        <v>0</v>
      </c>
      <c r="L94" s="120"/>
      <c r="M94" s="121">
        <f>IF(D94&gt;C94,C94-D94,0)</f>
        <v>0</v>
      </c>
      <c r="N94" s="122">
        <f>IF(D94&lt;C94,C94-D94,0)</f>
        <v>0</v>
      </c>
    </row>
    <row r="95" spans="1:14" s="70" customFormat="1" ht="12.75" customHeight="1">
      <c r="A95" s="144" t="s">
        <v>240</v>
      </c>
      <c r="B95" s="112" t="s">
        <v>224</v>
      </c>
      <c r="C95" s="237">
        <v>1027</v>
      </c>
      <c r="D95" s="113">
        <v>1000.6016129745093</v>
      </c>
      <c r="E95" s="114">
        <f>IF(C95&gt;=0.9*D95,D95,C95+0.1*D95)</f>
        <v>1000.6016129745093</v>
      </c>
      <c r="F95" s="115"/>
      <c r="G95" s="116">
        <f>E95+F95</f>
        <v>1000.6016129745093</v>
      </c>
      <c r="H95" s="117">
        <v>1.6700194741966894</v>
      </c>
      <c r="I95" s="115">
        <f>E95*H95</f>
        <v>1671.0241795800493</v>
      </c>
      <c r="J95" s="118"/>
      <c r="K95" s="119">
        <f>I95+J95</f>
        <v>1671.0241795800493</v>
      </c>
      <c r="L95" s="120"/>
      <c r="M95" s="121">
        <f>IF(D95&gt;C95,C95-D95,0)</f>
        <v>0</v>
      </c>
      <c r="N95" s="122">
        <f>IF(D95&lt;C95,C95-D95,0)</f>
        <v>26.398387025490706</v>
      </c>
    </row>
    <row r="96" spans="1:14" ht="12.75" customHeight="1">
      <c r="A96" s="123" t="s">
        <v>240</v>
      </c>
      <c r="B96" s="124" t="s">
        <v>225</v>
      </c>
      <c r="C96" s="238">
        <v>116</v>
      </c>
      <c r="D96" s="125">
        <v>134.5334835283161</v>
      </c>
      <c r="E96" s="114">
        <f>IF(C96&gt;=0.9*D96,D96,C96+0.1*D96)</f>
        <v>129.4533483528316</v>
      </c>
      <c r="F96" s="126"/>
      <c r="G96" s="116">
        <f>E96+F96</f>
        <v>129.4533483528316</v>
      </c>
      <c r="H96" s="127">
        <v>1.9331896551724137</v>
      </c>
      <c r="I96" s="115">
        <f>E96*H96</f>
        <v>250.25787386312487</v>
      </c>
      <c r="J96" s="128"/>
      <c r="K96" s="119">
        <f>I96+J96</f>
        <v>250.25787386312487</v>
      </c>
      <c r="L96" s="129"/>
      <c r="M96" s="121">
        <f>IF(D96&gt;C96,C96-D96,0)</f>
        <v>-18.53348352831611</v>
      </c>
      <c r="N96" s="122">
        <f>IF(D96&lt;C96,C96-D96,0)</f>
        <v>0</v>
      </c>
    </row>
    <row r="97" spans="1:14" s="70" customFormat="1" ht="12.75" customHeight="1" thickBot="1">
      <c r="A97" s="145" t="s">
        <v>240</v>
      </c>
      <c r="B97" s="131" t="s">
        <v>226</v>
      </c>
      <c r="C97" s="237">
        <v>5635</v>
      </c>
      <c r="D97" s="113">
        <v>5117.847372675192</v>
      </c>
      <c r="E97" s="114">
        <f>IF(C97&lt;D97,C97,D97)</f>
        <v>5117.847372675192</v>
      </c>
      <c r="F97" s="126"/>
      <c r="G97" s="116">
        <f>E97+F97</f>
        <v>5117.847372675192</v>
      </c>
      <c r="H97" s="117">
        <v>1.6497444543034607</v>
      </c>
      <c r="I97" s="115">
        <f>E97*H97</f>
        <v>8443.140321042434</v>
      </c>
      <c r="J97" s="132"/>
      <c r="K97" s="119">
        <f>I97+J97</f>
        <v>8443.140321042434</v>
      </c>
      <c r="L97" s="133"/>
      <c r="M97" s="121">
        <f>IF(D97&gt;C97,C97-D97,0)</f>
        <v>0</v>
      </c>
      <c r="N97" s="122">
        <f>IF(D97&lt;C97,C97-D97,0)</f>
        <v>517.1526273248082</v>
      </c>
    </row>
    <row r="98" spans="1:14" s="70" customFormat="1" ht="12.75" customHeight="1" thickBot="1">
      <c r="A98" s="134" t="s">
        <v>240</v>
      </c>
      <c r="B98" s="135" t="s">
        <v>71</v>
      </c>
      <c r="C98" s="239">
        <f>SUM(C93:C97)</f>
        <v>10307</v>
      </c>
      <c r="D98" s="136">
        <f>SUM(D93:D97)</f>
        <v>9478.002386403867</v>
      </c>
      <c r="E98" s="136">
        <f>SUM(E93:E97)</f>
        <v>9472.922251228381</v>
      </c>
      <c r="F98" s="137">
        <f>SUM(F93:F97)</f>
        <v>0</v>
      </c>
      <c r="G98" s="138">
        <f>SUM(G93:G97)</f>
        <v>9472.922251228381</v>
      </c>
      <c r="H98" s="137"/>
      <c r="I98" s="137">
        <f>SUM(I93:I97)</f>
        <v>15794.436569659898</v>
      </c>
      <c r="J98" s="137">
        <f>SUM(J93:J97)</f>
        <v>0</v>
      </c>
      <c r="K98" s="139">
        <f>SUM(K93:K97)</f>
        <v>15794.436569659898</v>
      </c>
      <c r="L98" s="140">
        <f>ROUND(K98*$N$186/$K$176,0)</f>
        <v>385972</v>
      </c>
      <c r="M98" s="141">
        <f>SUM(M93:M97)</f>
        <v>-18.53348352831611</v>
      </c>
      <c r="N98" s="142">
        <f>SUM(N93:N97)</f>
        <v>847.5310971244495</v>
      </c>
    </row>
    <row r="99" spans="1:14" s="70" customFormat="1" ht="12.75" customHeight="1">
      <c r="A99" s="143" t="s">
        <v>241</v>
      </c>
      <c r="B99" s="112" t="s">
        <v>222</v>
      </c>
      <c r="C99" s="237">
        <v>5898</v>
      </c>
      <c r="D99" s="113">
        <v>5765.437549268934</v>
      </c>
      <c r="E99" s="114">
        <f>IF(C99&gt;=0.9*D99,D99,C99+0.1*D99)</f>
        <v>5765.437549268934</v>
      </c>
      <c r="F99" s="115"/>
      <c r="G99" s="116">
        <f>E99+F99</f>
        <v>5765.437549268934</v>
      </c>
      <c r="H99" s="117">
        <v>1.710576432689047</v>
      </c>
      <c r="I99" s="115">
        <f>E99*H99</f>
        <v>9862.221595919935</v>
      </c>
      <c r="J99" s="118"/>
      <c r="K99" s="119">
        <f>I99+J99</f>
        <v>9862.221595919935</v>
      </c>
      <c r="L99" s="120"/>
      <c r="M99" s="121">
        <f>IF(D99&gt;C99,C99-D99,0)</f>
        <v>0</v>
      </c>
      <c r="N99" s="122">
        <f>IF(D99&lt;C99,C99-D99,0)</f>
        <v>132.56245073106584</v>
      </c>
    </row>
    <row r="100" spans="1:14" s="70" customFormat="1" ht="12.75" customHeight="1">
      <c r="A100" s="144" t="s">
        <v>241</v>
      </c>
      <c r="B100" s="112" t="s">
        <v>223</v>
      </c>
      <c r="C100" s="237">
        <v>0</v>
      </c>
      <c r="D100" s="113">
        <v>28.40308482553168</v>
      </c>
      <c r="E100" s="114">
        <f>IF(C100&gt;=0.9*D100,D100,C100+0.1*D100)</f>
        <v>2.840308482553168</v>
      </c>
      <c r="F100" s="115"/>
      <c r="G100" s="116">
        <f>E100+F100</f>
        <v>2.840308482553168</v>
      </c>
      <c r="H100" s="117"/>
      <c r="I100" s="115">
        <f>E100*H100</f>
        <v>0</v>
      </c>
      <c r="J100" s="118"/>
      <c r="K100" s="119">
        <f>I100+J100</f>
        <v>0</v>
      </c>
      <c r="L100" s="120"/>
      <c r="M100" s="121">
        <f>IF(D100&gt;C100,C100-D100,0)</f>
        <v>-28.40308482553168</v>
      </c>
      <c r="N100" s="122">
        <f>IF(D100&lt;C100,C100-D100,0)</f>
        <v>0</v>
      </c>
    </row>
    <row r="101" spans="1:14" s="70" customFormat="1" ht="12.75" customHeight="1">
      <c r="A101" s="144" t="s">
        <v>241</v>
      </c>
      <c r="B101" s="112" t="s">
        <v>224</v>
      </c>
      <c r="C101" s="237">
        <v>3367</v>
      </c>
      <c r="D101" s="113">
        <v>2817.7958157155917</v>
      </c>
      <c r="E101" s="114">
        <f>IF(C101&gt;=0.9*D101,D101,C101+0.1*D101)</f>
        <v>2817.7958157155917</v>
      </c>
      <c r="F101" s="115"/>
      <c r="G101" s="116">
        <f>E101+F101</f>
        <v>2817.7958157155917</v>
      </c>
      <c r="H101" s="117">
        <v>1.647122067122067</v>
      </c>
      <c r="I101" s="115">
        <f>E101*H101</f>
        <v>4641.253668709376</v>
      </c>
      <c r="J101" s="118"/>
      <c r="K101" s="119">
        <f>I101+J101</f>
        <v>4641.253668709376</v>
      </c>
      <c r="L101" s="120"/>
      <c r="M101" s="121">
        <f>IF(D101&gt;C101,C101-D101,0)</f>
        <v>0</v>
      </c>
      <c r="N101" s="122">
        <f>IF(D101&lt;C101,C101-D101,0)</f>
        <v>549.2041842844083</v>
      </c>
    </row>
    <row r="102" spans="1:14" ht="12.75" customHeight="1">
      <c r="A102" s="123" t="s">
        <v>241</v>
      </c>
      <c r="B102" s="124" t="s">
        <v>225</v>
      </c>
      <c r="C102" s="238">
        <v>443.5</v>
      </c>
      <c r="D102" s="125">
        <v>443.3005942601827</v>
      </c>
      <c r="E102" s="114">
        <f>IF(C102&gt;=0.9*D102,D102,C102+0.1*D102)</f>
        <v>443.3005942601827</v>
      </c>
      <c r="F102" s="126"/>
      <c r="G102" s="116">
        <f>E102+F102</f>
        <v>443.3005942601827</v>
      </c>
      <c r="H102" s="127">
        <v>1.7994137542277338</v>
      </c>
      <c r="I102" s="115">
        <f>E102*H102</f>
        <v>797.6811865691008</v>
      </c>
      <c r="J102" s="128"/>
      <c r="K102" s="119">
        <f>I102+J102</f>
        <v>797.6811865691008</v>
      </c>
      <c r="L102" s="129"/>
      <c r="M102" s="121">
        <f>IF(D102&gt;C102,C102-D102,0)</f>
        <v>0</v>
      </c>
      <c r="N102" s="122">
        <f>IF(D102&lt;C102,C102-D102,0)</f>
        <v>0.19940573981727994</v>
      </c>
    </row>
    <row r="103" spans="1:14" s="70" customFormat="1" ht="12.75" customHeight="1" thickBot="1">
      <c r="A103" s="145" t="s">
        <v>241</v>
      </c>
      <c r="B103" s="131" t="s">
        <v>226</v>
      </c>
      <c r="C103" s="237">
        <v>12061</v>
      </c>
      <c r="D103" s="113">
        <v>11343.878835450652</v>
      </c>
      <c r="E103" s="114">
        <f>IF(C103&lt;D103,C103,D103)</f>
        <v>11343.878835450652</v>
      </c>
      <c r="F103" s="126"/>
      <c r="G103" s="116">
        <f>E103+F103</f>
        <v>11343.878835450652</v>
      </c>
      <c r="H103" s="117">
        <v>1.686033479810961</v>
      </c>
      <c r="I103" s="115">
        <f>E103*H103</f>
        <v>19126.159507488777</v>
      </c>
      <c r="J103" s="132"/>
      <c r="K103" s="119">
        <f>I103+J103</f>
        <v>19126.159507488777</v>
      </c>
      <c r="L103" s="133"/>
      <c r="M103" s="121">
        <f>IF(D103&gt;C103,C103-D103,0)</f>
        <v>0</v>
      </c>
      <c r="N103" s="122">
        <f>IF(D103&lt;C103,C103-D103,0)</f>
        <v>717.1211645493477</v>
      </c>
    </row>
    <row r="104" spans="1:14" s="70" customFormat="1" ht="12.75" customHeight="1" thickBot="1">
      <c r="A104" s="134" t="s">
        <v>241</v>
      </c>
      <c r="B104" s="135" t="s">
        <v>71</v>
      </c>
      <c r="C104" s="239">
        <f>SUM(C99:C103)</f>
        <v>21769.5</v>
      </c>
      <c r="D104" s="136">
        <f>SUM(D99:D103)</f>
        <v>20398.815879520895</v>
      </c>
      <c r="E104" s="136">
        <f>SUM(E99:E103)</f>
        <v>20373.253103177914</v>
      </c>
      <c r="F104" s="137">
        <f>SUM(F99:F103)</f>
        <v>0</v>
      </c>
      <c r="G104" s="138">
        <f>SUM(G99:G103)</f>
        <v>20373.253103177914</v>
      </c>
      <c r="H104" s="137"/>
      <c r="I104" s="137">
        <f>SUM(I99:I103)</f>
        <v>34427.31595868719</v>
      </c>
      <c r="J104" s="137">
        <f>SUM(J99:J103)</f>
        <v>0</v>
      </c>
      <c r="K104" s="139">
        <f>SUM(K99:K103)</f>
        <v>34427.31595868719</v>
      </c>
      <c r="L104" s="140">
        <f>ROUND(K104*$N$186/$K$176,0)</f>
        <v>841307</v>
      </c>
      <c r="M104" s="141">
        <f>SUM(M99:M103)</f>
        <v>-28.40308482553168</v>
      </c>
      <c r="N104" s="142">
        <f>SUM(N99:N103)</f>
        <v>1399.0872053046392</v>
      </c>
    </row>
    <row r="105" spans="1:14" s="70" customFormat="1" ht="12.75" customHeight="1">
      <c r="A105" s="147" t="s">
        <v>242</v>
      </c>
      <c r="B105" s="112" t="s">
        <v>222</v>
      </c>
      <c r="C105" s="237">
        <v>5876.5</v>
      </c>
      <c r="D105" s="113">
        <v>6312.535382035456</v>
      </c>
      <c r="E105" s="114">
        <f>IF(C105&gt;=0.9*D105,D105,C105+0.1*D105)</f>
        <v>6312.535382035456</v>
      </c>
      <c r="F105" s="115"/>
      <c r="G105" s="116">
        <f>E105+F105</f>
        <v>6312.535382035456</v>
      </c>
      <c r="H105" s="117">
        <v>1.506777843954735</v>
      </c>
      <c r="I105" s="115">
        <f>E105*H105</f>
        <v>9511.588452831364</v>
      </c>
      <c r="J105" s="118"/>
      <c r="K105" s="119">
        <f>I105+J105</f>
        <v>9511.588452831364</v>
      </c>
      <c r="L105" s="120"/>
      <c r="M105" s="121">
        <f>IF(D105&gt;C105,C105-D105,0)</f>
        <v>-436.03538203545577</v>
      </c>
      <c r="N105" s="122">
        <f>IF(D105&lt;C105,C105-D105,0)</f>
        <v>0</v>
      </c>
    </row>
    <row r="106" spans="1:14" s="70" customFormat="1" ht="12.75" customHeight="1">
      <c r="A106" s="111" t="s">
        <v>242</v>
      </c>
      <c r="B106" s="112" t="s">
        <v>223</v>
      </c>
      <c r="C106" s="237">
        <v>0</v>
      </c>
      <c r="D106" s="113">
        <v>0</v>
      </c>
      <c r="E106" s="114">
        <f>IF(C106&gt;=0.9*D106,D106,C106+0.1*D106)</f>
        <v>0</v>
      </c>
      <c r="F106" s="115"/>
      <c r="G106" s="116">
        <f>E106+F106</f>
        <v>0</v>
      </c>
      <c r="H106" s="117"/>
      <c r="I106" s="115">
        <f>E106*H106</f>
        <v>0</v>
      </c>
      <c r="J106" s="118"/>
      <c r="K106" s="119">
        <f>I106+J106</f>
        <v>0</v>
      </c>
      <c r="L106" s="120"/>
      <c r="M106" s="121">
        <f>IF(D106&gt;C106,C106-D106,0)</f>
        <v>0</v>
      </c>
      <c r="N106" s="122">
        <f>IF(D106&lt;C106,C106-D106,0)</f>
        <v>0</v>
      </c>
    </row>
    <row r="107" spans="1:14" s="70" customFormat="1" ht="12.75" customHeight="1">
      <c r="A107" s="111" t="s">
        <v>242</v>
      </c>
      <c r="B107" s="112" t="s">
        <v>224</v>
      </c>
      <c r="C107" s="237">
        <v>2921</v>
      </c>
      <c r="D107" s="113">
        <v>2452.3484190259605</v>
      </c>
      <c r="E107" s="114">
        <f>IF(C107&gt;=0.9*D107,D107,C107+0.1*D107)</f>
        <v>2452.3484190259605</v>
      </c>
      <c r="F107" s="115"/>
      <c r="G107" s="116">
        <f>E107+F107</f>
        <v>2452.3484190259605</v>
      </c>
      <c r="H107" s="117">
        <v>1.4448134200616227</v>
      </c>
      <c r="I107" s="115">
        <f>E107*H107</f>
        <v>3543.1859064756113</v>
      </c>
      <c r="J107" s="118"/>
      <c r="K107" s="119">
        <f>I107+J107</f>
        <v>3543.1859064756113</v>
      </c>
      <c r="L107" s="120"/>
      <c r="M107" s="121">
        <f>IF(D107&gt;C107,C107-D107,0)</f>
        <v>0</v>
      </c>
      <c r="N107" s="122">
        <f>IF(D107&lt;C107,C107-D107,0)</f>
        <v>468.65158097403946</v>
      </c>
    </row>
    <row r="108" spans="1:14" ht="12.75" customHeight="1">
      <c r="A108" s="123" t="s">
        <v>242</v>
      </c>
      <c r="B108" s="124" t="s">
        <v>225</v>
      </c>
      <c r="C108" s="238">
        <v>301</v>
      </c>
      <c r="D108" s="125">
        <v>335.02416808285506</v>
      </c>
      <c r="E108" s="114">
        <f>IF(C108&gt;=0.9*D108,D108,C108+0.1*D108)</f>
        <v>334.5024168082855</v>
      </c>
      <c r="F108" s="126"/>
      <c r="G108" s="116">
        <f>E108+F108</f>
        <v>334.5024168082855</v>
      </c>
      <c r="H108" s="127">
        <v>1.625282392026578</v>
      </c>
      <c r="I108" s="115">
        <f>E108*H108</f>
        <v>543.6608881288416</v>
      </c>
      <c r="J108" s="128"/>
      <c r="K108" s="119">
        <f>I108+J108</f>
        <v>543.6608881288416</v>
      </c>
      <c r="L108" s="129"/>
      <c r="M108" s="121">
        <f>IF(D108&gt;C108,C108-D108,0)</f>
        <v>-34.024168082855056</v>
      </c>
      <c r="N108" s="122">
        <f>IF(D108&lt;C108,C108-D108,0)</f>
        <v>0</v>
      </c>
    </row>
    <row r="109" spans="1:14" s="70" customFormat="1" ht="12.75" customHeight="1" thickBot="1">
      <c r="A109" s="130" t="s">
        <v>242</v>
      </c>
      <c r="B109" s="131" t="s">
        <v>226</v>
      </c>
      <c r="C109" s="237">
        <v>11582.5</v>
      </c>
      <c r="D109" s="113">
        <v>11407.702159169776</v>
      </c>
      <c r="E109" s="114">
        <f>IF(C109&lt;D109,C109,D109)</f>
        <v>11407.702159169776</v>
      </c>
      <c r="F109" s="126"/>
      <c r="G109" s="116">
        <f>E109+F109</f>
        <v>11407.702159169776</v>
      </c>
      <c r="H109" s="117">
        <v>1.507933520397151</v>
      </c>
      <c r="I109" s="115">
        <f>E109*H109</f>
        <v>17202.05647651906</v>
      </c>
      <c r="J109" s="132"/>
      <c r="K109" s="119">
        <f>I109+J109</f>
        <v>17202.05647651906</v>
      </c>
      <c r="L109" s="133"/>
      <c r="M109" s="121">
        <f>IF(D109&gt;C109,C109-D109,0)</f>
        <v>0</v>
      </c>
      <c r="N109" s="122">
        <f>IF(D109&lt;C109,C109-D109,0)</f>
        <v>174.79784083022423</v>
      </c>
    </row>
    <row r="110" spans="1:14" s="70" customFormat="1" ht="12.75" customHeight="1" thickBot="1">
      <c r="A110" s="134" t="s">
        <v>242</v>
      </c>
      <c r="B110" s="135" t="s">
        <v>71</v>
      </c>
      <c r="C110" s="239">
        <f>SUM(C105:C109)</f>
        <v>20681</v>
      </c>
      <c r="D110" s="136">
        <f>SUM(D105:D109)</f>
        <v>20507.610128314045</v>
      </c>
      <c r="E110" s="136">
        <f>SUM(E105:E109)</f>
        <v>20507.08837703948</v>
      </c>
      <c r="F110" s="137">
        <f>SUM(F105:F109)</f>
        <v>0</v>
      </c>
      <c r="G110" s="138">
        <f>SUM(G105:G109)</f>
        <v>20507.08837703948</v>
      </c>
      <c r="H110" s="137"/>
      <c r="I110" s="137">
        <f>SUM(I105:I109)</f>
        <v>30800.491723954878</v>
      </c>
      <c r="J110" s="137">
        <f>SUM(J105:J109)</f>
        <v>0</v>
      </c>
      <c r="K110" s="139">
        <f>SUM(K105:K109)</f>
        <v>30800.491723954878</v>
      </c>
      <c r="L110" s="140">
        <f>ROUND(K110*$N$186/$K$176,0)</f>
        <v>752677</v>
      </c>
      <c r="M110" s="141">
        <f>SUM(M105:M109)</f>
        <v>-470.0595501183108</v>
      </c>
      <c r="N110" s="142">
        <f>SUM(N105:N109)</f>
        <v>643.4494218042637</v>
      </c>
    </row>
    <row r="111" spans="1:14" s="70" customFormat="1" ht="12.75" customHeight="1">
      <c r="A111" s="143" t="s">
        <v>243</v>
      </c>
      <c r="B111" s="112" t="s">
        <v>222</v>
      </c>
      <c r="C111" s="237">
        <v>3378.5</v>
      </c>
      <c r="D111" s="113">
        <v>3364.799463917723</v>
      </c>
      <c r="E111" s="114">
        <f>IF(C111&gt;=0.9*D111,D111,C111+0.1*D111)</f>
        <v>3364.799463917723</v>
      </c>
      <c r="F111" s="115"/>
      <c r="G111" s="116">
        <f>E111+F111</f>
        <v>3364.799463917723</v>
      </c>
      <c r="H111" s="117">
        <v>1.6324670711854372</v>
      </c>
      <c r="I111" s="115">
        <f>E111*H111</f>
        <v>5492.924325988095</v>
      </c>
      <c r="J111" s="118"/>
      <c r="K111" s="119">
        <f>I111+J111</f>
        <v>5492.924325988095</v>
      </c>
      <c r="L111" s="120"/>
      <c r="M111" s="121">
        <f>IF(D111&gt;C111,C111-D111,0)</f>
        <v>0</v>
      </c>
      <c r="N111" s="122">
        <f>IF(D111&lt;C111,C111-D111,0)</f>
        <v>13.700536082276813</v>
      </c>
    </row>
    <row r="112" spans="1:14" s="70" customFormat="1" ht="12.75" customHeight="1">
      <c r="A112" s="111" t="s">
        <v>243</v>
      </c>
      <c r="B112" s="112" t="s">
        <v>223</v>
      </c>
      <c r="C112" s="237">
        <v>0</v>
      </c>
      <c r="D112" s="113">
        <v>0</v>
      </c>
      <c r="E112" s="114">
        <f>IF(C112&gt;=0.9*D112,D112,C112+0.1*D112)</f>
        <v>0</v>
      </c>
      <c r="F112" s="115"/>
      <c r="G112" s="116">
        <f>E112+F112</f>
        <v>0</v>
      </c>
      <c r="H112" s="117"/>
      <c r="I112" s="115">
        <f>E112*H112</f>
        <v>0</v>
      </c>
      <c r="J112" s="118"/>
      <c r="K112" s="119">
        <f>I112+J112</f>
        <v>0</v>
      </c>
      <c r="L112" s="120"/>
      <c r="M112" s="121">
        <f>IF(D112&gt;C112,C112-D112,0)</f>
        <v>0</v>
      </c>
      <c r="N112" s="122">
        <f>IF(D112&lt;C112,C112-D112,0)</f>
        <v>0</v>
      </c>
    </row>
    <row r="113" spans="1:14" s="70" customFormat="1" ht="12.75" customHeight="1">
      <c r="A113" s="111" t="s">
        <v>243</v>
      </c>
      <c r="B113" s="112" t="s">
        <v>224</v>
      </c>
      <c r="C113" s="237">
        <v>1784.5</v>
      </c>
      <c r="D113" s="113">
        <v>1659.1123630148684</v>
      </c>
      <c r="E113" s="114">
        <f>IF(C113&gt;=0.9*D113,D113,C113+0.1*D113)</f>
        <v>1659.1123630148684</v>
      </c>
      <c r="F113" s="115"/>
      <c r="G113" s="116">
        <f>E113+F113</f>
        <v>1659.1123630148684</v>
      </c>
      <c r="H113" s="117">
        <v>1.5820005603810592</v>
      </c>
      <c r="I113" s="115">
        <f>E113*H113</f>
        <v>2624.716688024665</v>
      </c>
      <c r="J113" s="118"/>
      <c r="K113" s="119">
        <f>I113+J113</f>
        <v>2624.716688024665</v>
      </c>
      <c r="L113" s="120"/>
      <c r="M113" s="121">
        <f>IF(D113&gt;C113,C113-D113,0)</f>
        <v>0</v>
      </c>
      <c r="N113" s="122">
        <f>IF(D113&lt;C113,C113-D113,0)</f>
        <v>125.38763698513162</v>
      </c>
    </row>
    <row r="114" spans="1:14" ht="12.75" customHeight="1">
      <c r="A114" s="123" t="s">
        <v>243</v>
      </c>
      <c r="B114" s="124" t="s">
        <v>225</v>
      </c>
      <c r="C114" s="238">
        <v>105.5</v>
      </c>
      <c r="D114" s="125">
        <v>108.02437424689562</v>
      </c>
      <c r="E114" s="114">
        <f>IF(C114&gt;=0.9*D114,D114,C114+0.1*D114)</f>
        <v>108.02437424689562</v>
      </c>
      <c r="F114" s="126"/>
      <c r="G114" s="116">
        <f>E114+F114</f>
        <v>108.02437424689562</v>
      </c>
      <c r="H114" s="127">
        <v>1.9872037914691945</v>
      </c>
      <c r="I114" s="115">
        <f>E114*H114</f>
        <v>214.66644607451818</v>
      </c>
      <c r="J114" s="128"/>
      <c r="K114" s="119">
        <f>I114+J114</f>
        <v>214.66644607451818</v>
      </c>
      <c r="L114" s="129"/>
      <c r="M114" s="121">
        <f>IF(D114&gt;C114,C114-D114,0)</f>
        <v>-2.5243742468956185</v>
      </c>
      <c r="N114" s="122">
        <f>IF(D114&lt;C114,C114-D114,0)</f>
        <v>0</v>
      </c>
    </row>
    <row r="115" spans="1:14" s="70" customFormat="1" ht="12.75" customHeight="1" thickBot="1">
      <c r="A115" s="130" t="s">
        <v>243</v>
      </c>
      <c r="B115" s="131" t="s">
        <v>226</v>
      </c>
      <c r="C115" s="237">
        <v>7000</v>
      </c>
      <c r="D115" s="113">
        <v>7107.42243435871</v>
      </c>
      <c r="E115" s="114">
        <f>IF(C115&lt;D115,C115,D115)</f>
        <v>7000</v>
      </c>
      <c r="F115" s="126"/>
      <c r="G115" s="116">
        <f>E115+F115</f>
        <v>7000</v>
      </c>
      <c r="H115" s="117">
        <v>1.6018785714285715</v>
      </c>
      <c r="I115" s="115">
        <f>E115*H115</f>
        <v>11213.15</v>
      </c>
      <c r="J115" s="132"/>
      <c r="K115" s="119">
        <f>I115+J115</f>
        <v>11213.15</v>
      </c>
      <c r="L115" s="133"/>
      <c r="M115" s="121">
        <f>IF(D115&gt;C115,C115-D115,0)</f>
        <v>-107.42243435871023</v>
      </c>
      <c r="N115" s="122">
        <f>IF(D115&lt;C115,C115-D115,0)</f>
        <v>0</v>
      </c>
    </row>
    <row r="116" spans="1:14" s="70" customFormat="1" ht="12.75" customHeight="1" thickBot="1">
      <c r="A116" s="134" t="s">
        <v>243</v>
      </c>
      <c r="B116" s="135" t="s">
        <v>71</v>
      </c>
      <c r="C116" s="239">
        <f>SUM(C111:C115)</f>
        <v>12268.5</v>
      </c>
      <c r="D116" s="136">
        <f>SUM(D111:D115)</f>
        <v>12239.358635538198</v>
      </c>
      <c r="E116" s="136">
        <f>SUM(E111:E115)</f>
        <v>12131.936201179487</v>
      </c>
      <c r="F116" s="137">
        <f>SUM(F111:F115)</f>
        <v>0</v>
      </c>
      <c r="G116" s="138">
        <f>SUM(G111:G115)</f>
        <v>12131.936201179487</v>
      </c>
      <c r="H116" s="137"/>
      <c r="I116" s="137">
        <f>SUM(I111:I115)</f>
        <v>19545.45746008728</v>
      </c>
      <c r="J116" s="137">
        <f>SUM(J111:J115)</f>
        <v>0</v>
      </c>
      <c r="K116" s="139">
        <f>SUM(K111:K115)</f>
        <v>19545.45746008728</v>
      </c>
      <c r="L116" s="140">
        <f>ROUND(K116*$N$186/$K$176,0)</f>
        <v>477636</v>
      </c>
      <c r="M116" s="141">
        <f>SUM(M111:M115)</f>
        <v>-109.94680860560585</v>
      </c>
      <c r="N116" s="142">
        <f>SUM(N111:N115)</f>
        <v>139.08817306740843</v>
      </c>
    </row>
    <row r="117" spans="1:14" s="70" customFormat="1" ht="12.75" customHeight="1">
      <c r="A117" s="147" t="s">
        <v>244</v>
      </c>
      <c r="B117" s="112" t="s">
        <v>222</v>
      </c>
      <c r="C117" s="237">
        <v>4074.5</v>
      </c>
      <c r="D117" s="113">
        <v>4295.800283750526</v>
      </c>
      <c r="E117" s="114">
        <f>IF(C117&gt;=0.9*D117,D117,C117+0.1*D117)</f>
        <v>4295.800283750526</v>
      </c>
      <c r="F117" s="115"/>
      <c r="G117" s="116">
        <f>E117+F117</f>
        <v>4295.800283750526</v>
      </c>
      <c r="H117" s="117">
        <v>1.1058485703767333</v>
      </c>
      <c r="I117" s="115">
        <f>E117*H117</f>
        <v>4750.504602409485</v>
      </c>
      <c r="J117" s="118"/>
      <c r="K117" s="119">
        <f>I117+J117</f>
        <v>4750.504602409485</v>
      </c>
      <c r="L117" s="120"/>
      <c r="M117" s="121">
        <f>IF(D117&gt;C117,C117-D117,0)</f>
        <v>-221.30028375052643</v>
      </c>
      <c r="N117" s="122">
        <f>IF(D117&lt;C117,C117-D117,0)</f>
        <v>0</v>
      </c>
    </row>
    <row r="118" spans="1:14" s="70" customFormat="1" ht="12.75" customHeight="1">
      <c r="A118" s="111" t="s">
        <v>244</v>
      </c>
      <c r="B118" s="112" t="s">
        <v>223</v>
      </c>
      <c r="C118" s="237">
        <v>0</v>
      </c>
      <c r="D118" s="113">
        <v>0</v>
      </c>
      <c r="E118" s="114">
        <f>IF(C118&gt;=0.9*D118,D118,C118+0.1*D118)</f>
        <v>0</v>
      </c>
      <c r="F118" s="115"/>
      <c r="G118" s="116">
        <f>E118+F118</f>
        <v>0</v>
      </c>
      <c r="H118" s="117"/>
      <c r="I118" s="115">
        <f>E118*H118</f>
        <v>0</v>
      </c>
      <c r="J118" s="118"/>
      <c r="K118" s="119">
        <f>I118+J118</f>
        <v>0</v>
      </c>
      <c r="L118" s="120"/>
      <c r="M118" s="121">
        <f>IF(D118&gt;C118,C118-D118,0)</f>
        <v>0</v>
      </c>
      <c r="N118" s="122">
        <f>IF(D118&lt;C118,C118-D118,0)</f>
        <v>0</v>
      </c>
    </row>
    <row r="119" spans="1:14" s="70" customFormat="1" ht="12.75" customHeight="1">
      <c r="A119" s="111" t="s">
        <v>244</v>
      </c>
      <c r="B119" s="112" t="s">
        <v>224</v>
      </c>
      <c r="C119" s="237">
        <v>2844</v>
      </c>
      <c r="D119" s="113">
        <v>2574.416889761899</v>
      </c>
      <c r="E119" s="114">
        <f>IF(C119&gt;=0.9*D119,D119,C119+0.1*D119)</f>
        <v>2574.416889761899</v>
      </c>
      <c r="F119" s="115"/>
      <c r="G119" s="116">
        <f>E119+F119</f>
        <v>2574.416889761899</v>
      </c>
      <c r="H119" s="117">
        <v>1.0629676511954993</v>
      </c>
      <c r="I119" s="115">
        <f>E119*H119</f>
        <v>2736.5218745082284</v>
      </c>
      <c r="J119" s="118"/>
      <c r="K119" s="119">
        <f>I119+J119</f>
        <v>2736.5218745082284</v>
      </c>
      <c r="L119" s="120"/>
      <c r="M119" s="121">
        <f>IF(D119&gt;C119,C119-D119,0)</f>
        <v>0</v>
      </c>
      <c r="N119" s="122">
        <f>IF(D119&lt;C119,C119-D119,0)</f>
        <v>269.5831102381012</v>
      </c>
    </row>
    <row r="120" spans="1:14" ht="12.75" customHeight="1">
      <c r="A120" s="123" t="s">
        <v>244</v>
      </c>
      <c r="B120" s="124" t="s">
        <v>225</v>
      </c>
      <c r="C120" s="238">
        <v>174.5</v>
      </c>
      <c r="D120" s="125">
        <v>197.7571710876327</v>
      </c>
      <c r="E120" s="114">
        <f>IF(C120&gt;=0.9*D120,D120,C120+0.1*D120)</f>
        <v>194.27571710876327</v>
      </c>
      <c r="F120" s="126"/>
      <c r="G120" s="116">
        <f>E120+F120</f>
        <v>194.27571710876327</v>
      </c>
      <c r="H120" s="127">
        <v>1.063323782234957</v>
      </c>
      <c r="I120" s="115">
        <f>E120*H120</f>
        <v>206.5779903124987</v>
      </c>
      <c r="J120" s="128"/>
      <c r="K120" s="119">
        <f>I120+J120</f>
        <v>206.5779903124987</v>
      </c>
      <c r="L120" s="129"/>
      <c r="M120" s="121">
        <f>IF(D120&gt;C120,C120-D120,0)</f>
        <v>-23.257171087632713</v>
      </c>
      <c r="N120" s="122">
        <f>IF(D120&lt;C120,C120-D120,0)</f>
        <v>0</v>
      </c>
    </row>
    <row r="121" spans="1:14" s="70" customFormat="1" ht="12.75" customHeight="1" thickBot="1">
      <c r="A121" s="130" t="s">
        <v>244</v>
      </c>
      <c r="B121" s="131" t="s">
        <v>226</v>
      </c>
      <c r="C121" s="237">
        <v>11088</v>
      </c>
      <c r="D121" s="113">
        <v>10505.461493688883</v>
      </c>
      <c r="E121" s="114">
        <f>IF(C121&lt;D121,C121,D121)</f>
        <v>10505.461493688883</v>
      </c>
      <c r="F121" s="126"/>
      <c r="G121" s="116">
        <f>E121+F121</f>
        <v>10505.461493688883</v>
      </c>
      <c r="H121" s="117">
        <v>1.0770301226551227</v>
      </c>
      <c r="I121" s="115">
        <f>E121*H121</f>
        <v>11314.698481096406</v>
      </c>
      <c r="J121" s="132"/>
      <c r="K121" s="119">
        <f>I121+J121</f>
        <v>11314.698481096406</v>
      </c>
      <c r="L121" s="133"/>
      <c r="M121" s="121">
        <f>IF(D121&gt;C121,C121-D121,0)</f>
        <v>0</v>
      </c>
      <c r="N121" s="122">
        <f>IF(D121&lt;C121,C121-D121,0)</f>
        <v>582.5385063111171</v>
      </c>
    </row>
    <row r="122" spans="1:14" s="70" customFormat="1" ht="12.75" customHeight="1" thickBot="1">
      <c r="A122" s="134" t="s">
        <v>244</v>
      </c>
      <c r="B122" s="135" t="s">
        <v>71</v>
      </c>
      <c r="C122" s="239">
        <f>SUM(C117:C121)</f>
        <v>18181</v>
      </c>
      <c r="D122" s="136">
        <f>SUM(D117:D121)</f>
        <v>17573.43583828894</v>
      </c>
      <c r="E122" s="136">
        <f>SUM(E117:E121)</f>
        <v>17569.95438431007</v>
      </c>
      <c r="F122" s="137">
        <f>SUM(F117:F121)</f>
        <v>0</v>
      </c>
      <c r="G122" s="138">
        <f>SUM(G117:G121)</f>
        <v>17569.95438431007</v>
      </c>
      <c r="H122" s="137"/>
      <c r="I122" s="137">
        <f>SUM(I117:I121)</f>
        <v>19008.30294832662</v>
      </c>
      <c r="J122" s="137">
        <f>SUM(J117:J121)</f>
        <v>0</v>
      </c>
      <c r="K122" s="139">
        <f>SUM(K117:K121)</f>
        <v>19008.30294832662</v>
      </c>
      <c r="L122" s="140">
        <f>ROUND(K122*$N$186/$K$176,0)</f>
        <v>464509</v>
      </c>
      <c r="M122" s="141">
        <f>SUM(M117:M121)</f>
        <v>-244.55745483815915</v>
      </c>
      <c r="N122" s="142">
        <f>SUM(N117:N121)</f>
        <v>852.1216165492183</v>
      </c>
    </row>
    <row r="123" spans="1:14" s="70" customFormat="1" ht="12.75" customHeight="1">
      <c r="A123" s="147" t="s">
        <v>245</v>
      </c>
      <c r="B123" s="112" t="s">
        <v>222</v>
      </c>
      <c r="C123" s="237">
        <v>6273.5</v>
      </c>
      <c r="D123" s="113">
        <v>5862.42981395774</v>
      </c>
      <c r="E123" s="114">
        <f>IF(C123&gt;=0.9*D123,D123,C123+0.1*D123)</f>
        <v>5862.42981395774</v>
      </c>
      <c r="F123" s="115"/>
      <c r="G123" s="116">
        <f>E123+F123</f>
        <v>5862.42981395774</v>
      </c>
      <c r="H123" s="117">
        <v>1.6173396030923726</v>
      </c>
      <c r="I123" s="115">
        <f>E123*H123</f>
        <v>9481.539908463303</v>
      </c>
      <c r="J123" s="118"/>
      <c r="K123" s="119">
        <f>I123+J123</f>
        <v>9481.539908463303</v>
      </c>
      <c r="L123" s="120"/>
      <c r="M123" s="121">
        <f>IF(D123&gt;C123,C123-D123,0)</f>
        <v>0</v>
      </c>
      <c r="N123" s="122">
        <f>IF(D123&lt;C123,C123-D123,0)</f>
        <v>411.0701860422596</v>
      </c>
    </row>
    <row r="124" spans="1:14" s="70" customFormat="1" ht="12.75" customHeight="1">
      <c r="A124" s="111" t="s">
        <v>245</v>
      </c>
      <c r="B124" s="112" t="s">
        <v>223</v>
      </c>
      <c r="C124" s="237">
        <v>0</v>
      </c>
      <c r="D124" s="113">
        <v>0</v>
      </c>
      <c r="E124" s="114">
        <f>IF(C124&gt;=0.9*D124,D124,C124+0.1*D124)</f>
        <v>0</v>
      </c>
      <c r="F124" s="115"/>
      <c r="G124" s="116">
        <f>E124+F124</f>
        <v>0</v>
      </c>
      <c r="H124" s="117"/>
      <c r="I124" s="115">
        <f>E124*H124</f>
        <v>0</v>
      </c>
      <c r="J124" s="118"/>
      <c r="K124" s="119">
        <f>I124+J124</f>
        <v>0</v>
      </c>
      <c r="L124" s="120"/>
      <c r="M124" s="121">
        <f>IF(D124&gt;C124,C124-D124,0)</f>
        <v>0</v>
      </c>
      <c r="N124" s="122">
        <f>IF(D124&lt;C124,C124-D124,0)</f>
        <v>0</v>
      </c>
    </row>
    <row r="125" spans="1:14" s="70" customFormat="1" ht="12.75" customHeight="1">
      <c r="A125" s="111" t="s">
        <v>245</v>
      </c>
      <c r="B125" s="112" t="s">
        <v>224</v>
      </c>
      <c r="C125" s="237">
        <v>3767.5</v>
      </c>
      <c r="D125" s="113">
        <v>2865.91280768362</v>
      </c>
      <c r="E125" s="114">
        <f>IF(C125&gt;=0.9*D125,D125,C125+0.1*D125)</f>
        <v>2865.91280768362</v>
      </c>
      <c r="F125" s="115"/>
      <c r="G125" s="116">
        <f>E125+F125</f>
        <v>2865.91280768362</v>
      </c>
      <c r="H125" s="117">
        <v>1.4422269409422694</v>
      </c>
      <c r="I125" s="115">
        <f>E125*H125</f>
        <v>4133.296661632818</v>
      </c>
      <c r="J125" s="118"/>
      <c r="K125" s="119">
        <f>I125+J125</f>
        <v>4133.296661632818</v>
      </c>
      <c r="L125" s="120"/>
      <c r="M125" s="121">
        <f>IF(D125&gt;C125,C125-D125,0)</f>
        <v>0</v>
      </c>
      <c r="N125" s="122">
        <f>IF(D125&lt;C125,C125-D125,0)</f>
        <v>901.58719231638</v>
      </c>
    </row>
    <row r="126" spans="1:14" ht="12.75" customHeight="1">
      <c r="A126" s="123" t="s">
        <v>245</v>
      </c>
      <c r="B126" s="124" t="s">
        <v>225</v>
      </c>
      <c r="C126" s="238">
        <v>245.5</v>
      </c>
      <c r="D126" s="125">
        <v>263.92539535194715</v>
      </c>
      <c r="E126" s="114">
        <f>IF(C126&gt;=0.9*D126,D126,C126+0.1*D126)</f>
        <v>263.92539535194715</v>
      </c>
      <c r="F126" s="126"/>
      <c r="G126" s="116">
        <f>E126+F126</f>
        <v>263.92539535194715</v>
      </c>
      <c r="H126" s="127">
        <v>1.8204887983706721</v>
      </c>
      <c r="I126" s="115">
        <f>E126*H126</f>
        <v>480.4732258437708</v>
      </c>
      <c r="J126" s="128"/>
      <c r="K126" s="119">
        <f>I126+J126</f>
        <v>480.4732258437708</v>
      </c>
      <c r="L126" s="129"/>
      <c r="M126" s="121">
        <f>IF(D126&gt;C126,C126-D126,0)</f>
        <v>-18.425395351947145</v>
      </c>
      <c r="N126" s="122">
        <f>IF(D126&lt;C126,C126-D126,0)</f>
        <v>0</v>
      </c>
    </row>
    <row r="127" spans="1:14" s="70" customFormat="1" ht="12.75" customHeight="1" thickBot="1">
      <c r="A127" s="130" t="s">
        <v>245</v>
      </c>
      <c r="B127" s="131" t="s">
        <v>226</v>
      </c>
      <c r="C127" s="237">
        <v>11102.5</v>
      </c>
      <c r="D127" s="113">
        <v>10684.8592521233</v>
      </c>
      <c r="E127" s="114">
        <f>IF(C127&lt;D127,C127,D127)</f>
        <v>10684.8592521233</v>
      </c>
      <c r="F127" s="126"/>
      <c r="G127" s="116">
        <f>E127+F127</f>
        <v>10684.8592521233</v>
      </c>
      <c r="H127" s="117">
        <v>1.5509533888763791</v>
      </c>
      <c r="I127" s="115">
        <f>E127*H127</f>
        <v>16571.718666747765</v>
      </c>
      <c r="J127" s="132"/>
      <c r="K127" s="119">
        <f>I127+J127</f>
        <v>16571.718666747765</v>
      </c>
      <c r="L127" s="133"/>
      <c r="M127" s="121">
        <f>IF(D127&gt;C127,C127-D127,0)</f>
        <v>0</v>
      </c>
      <c r="N127" s="122">
        <f>IF(D127&lt;C127,C127-D127,0)</f>
        <v>417.6407478766996</v>
      </c>
    </row>
    <row r="128" spans="1:15" s="70" customFormat="1" ht="12.75" customHeight="1" thickBot="1">
      <c r="A128" s="134" t="s">
        <v>245</v>
      </c>
      <c r="B128" s="135" t="s">
        <v>71</v>
      </c>
      <c r="C128" s="239">
        <f>SUM(C123:C127)</f>
        <v>21389</v>
      </c>
      <c r="D128" s="136">
        <f>SUM(D123:D127)</f>
        <v>19677.12726911661</v>
      </c>
      <c r="E128" s="136">
        <f>SUM(E123:E127)</f>
        <v>19677.12726911661</v>
      </c>
      <c r="F128" s="137">
        <f>SUM(F123:F127)</f>
        <v>0</v>
      </c>
      <c r="G128" s="138">
        <f>SUM(G123:G127)</f>
        <v>19677.12726911661</v>
      </c>
      <c r="H128" s="137"/>
      <c r="I128" s="137">
        <f>SUM(I123:I127)</f>
        <v>30667.028462687656</v>
      </c>
      <c r="J128" s="137">
        <f>SUM(J123:J127)</f>
        <v>0</v>
      </c>
      <c r="K128" s="139">
        <f>SUM(K123:K127)</f>
        <v>30667.028462687656</v>
      </c>
      <c r="L128" s="140">
        <f>ROUND(K128*$N$186/$K$176,0)</f>
        <v>749416</v>
      </c>
      <c r="M128" s="141">
        <f>SUM(M123:M127)</f>
        <v>-18.425395351947145</v>
      </c>
      <c r="N128" s="142">
        <f>SUM(N123:N127)</f>
        <v>1730.2981262353392</v>
      </c>
      <c r="O128"/>
    </row>
    <row r="129" spans="1:15" s="70" customFormat="1" ht="12.75" customHeight="1">
      <c r="A129" s="147" t="s">
        <v>246</v>
      </c>
      <c r="B129" s="112" t="s">
        <v>222</v>
      </c>
      <c r="C129" s="237">
        <v>2982</v>
      </c>
      <c r="D129" s="113">
        <v>2862.4787741320033</v>
      </c>
      <c r="E129" s="114">
        <f>IF(C129&gt;=0.9*D129,D129,C129+0.1*D129)</f>
        <v>2862.4787741320033</v>
      </c>
      <c r="F129" s="115"/>
      <c r="G129" s="116">
        <f>E129+F129</f>
        <v>2862.4787741320033</v>
      </c>
      <c r="H129" s="117">
        <v>1.786244131455399</v>
      </c>
      <c r="I129" s="115">
        <f>E129*H129</f>
        <v>5113.085911708936</v>
      </c>
      <c r="J129" s="118"/>
      <c r="K129" s="119">
        <f>I129+J129</f>
        <v>5113.085911708936</v>
      </c>
      <c r="L129" s="120"/>
      <c r="M129" s="121">
        <f>IF(D129&gt;C129,C129-D129,0)</f>
        <v>0</v>
      </c>
      <c r="N129" s="122">
        <f>IF(D129&lt;C129,C129-D129,0)</f>
        <v>119.52122586799669</v>
      </c>
      <c r="O129"/>
    </row>
    <row r="130" spans="1:15" s="70" customFormat="1" ht="12.75" customHeight="1">
      <c r="A130" s="111" t="s">
        <v>246</v>
      </c>
      <c r="B130" s="112" t="s">
        <v>223</v>
      </c>
      <c r="C130" s="237">
        <v>0</v>
      </c>
      <c r="D130" s="113">
        <v>0</v>
      </c>
      <c r="E130" s="114">
        <f>IF(C130&gt;=0.9*D130,D130,C130+0.1*D130)</f>
        <v>0</v>
      </c>
      <c r="F130" s="115"/>
      <c r="G130" s="116">
        <f>E130+F130</f>
        <v>0</v>
      </c>
      <c r="H130" s="117"/>
      <c r="I130" s="115">
        <f>E130*H130</f>
        <v>0</v>
      </c>
      <c r="J130" s="118"/>
      <c r="K130" s="119">
        <f>I130+J130</f>
        <v>0</v>
      </c>
      <c r="L130" s="120"/>
      <c r="M130" s="121">
        <f>IF(D130&gt;C130,C130-D130,0)</f>
        <v>0</v>
      </c>
      <c r="N130" s="122">
        <f>IF(D130&lt;C130,C130-D130,0)</f>
        <v>0</v>
      </c>
      <c r="O130"/>
    </row>
    <row r="131" spans="1:15" s="70" customFormat="1" ht="12.75" customHeight="1">
      <c r="A131" s="111" t="s">
        <v>246</v>
      </c>
      <c r="B131" s="112" t="s">
        <v>224</v>
      </c>
      <c r="C131" s="237">
        <v>1362</v>
      </c>
      <c r="D131" s="113">
        <v>1311.350269627694</v>
      </c>
      <c r="E131" s="114">
        <f>IF(C131&gt;=0.9*D131,D131,C131+0.1*D131)</f>
        <v>1311.350269627694</v>
      </c>
      <c r="F131" s="115"/>
      <c r="G131" s="116">
        <f>E131+F131</f>
        <v>1311.350269627694</v>
      </c>
      <c r="H131" s="117">
        <v>1.7393979441997063</v>
      </c>
      <c r="I131" s="115">
        <f>E131*H131</f>
        <v>2280.9599631161414</v>
      </c>
      <c r="J131" s="118"/>
      <c r="K131" s="119">
        <f>I131+J131</f>
        <v>2280.9599631161414</v>
      </c>
      <c r="L131" s="120"/>
      <c r="M131" s="121">
        <f>IF(D131&gt;C131,C131-D131,0)</f>
        <v>0</v>
      </c>
      <c r="N131" s="122">
        <f>IF(D131&lt;C131,C131-D131,0)</f>
        <v>50.64973037230607</v>
      </c>
      <c r="O131"/>
    </row>
    <row r="132" spans="1:15" ht="12.75" customHeight="1">
      <c r="A132" s="111" t="s">
        <v>246</v>
      </c>
      <c r="B132" s="124" t="s">
        <v>225</v>
      </c>
      <c r="C132" s="238">
        <v>161.5</v>
      </c>
      <c r="D132" s="125">
        <v>174.89522103039826</v>
      </c>
      <c r="E132" s="114">
        <f>IF(C132&gt;=0.9*D132,D132,C132+0.1*D132)</f>
        <v>174.89522103039826</v>
      </c>
      <c r="F132" s="126"/>
      <c r="G132" s="116">
        <f>E132+F132</f>
        <v>174.89522103039826</v>
      </c>
      <c r="H132" s="127">
        <v>1.9057636887608067</v>
      </c>
      <c r="I132" s="115">
        <f>E132*H132</f>
        <v>333.3089615775284</v>
      </c>
      <c r="J132" s="128"/>
      <c r="K132" s="119">
        <f>I132+J132</f>
        <v>333.3089615775284</v>
      </c>
      <c r="L132" s="129"/>
      <c r="M132" s="121">
        <f>IF(D132&gt;C132,C132-D132,0)</f>
        <v>-13.395221030398261</v>
      </c>
      <c r="N132" s="122">
        <f>IF(D132&lt;C132,C132-D132,0)</f>
        <v>0</v>
      </c>
      <c r="O132"/>
    </row>
    <row r="133" spans="1:15" s="70" customFormat="1" ht="12.75" customHeight="1" thickBot="1">
      <c r="A133" s="111" t="s">
        <v>246</v>
      </c>
      <c r="B133" s="131" t="s">
        <v>226</v>
      </c>
      <c r="C133" s="237">
        <v>5837.5</v>
      </c>
      <c r="D133" s="113">
        <v>5670.311990986004</v>
      </c>
      <c r="E133" s="114">
        <f>IF(C133&lt;D133,C133,D133)</f>
        <v>5670.311990986004</v>
      </c>
      <c r="F133" s="126"/>
      <c r="G133" s="116">
        <f>E133+F133</f>
        <v>5670.311990986004</v>
      </c>
      <c r="H133" s="117">
        <v>1.7464753747323338</v>
      </c>
      <c r="I133" s="115">
        <f>E133*H133</f>
        <v>9903.060259306527</v>
      </c>
      <c r="J133" s="132"/>
      <c r="K133" s="119">
        <f>I133+J133</f>
        <v>9903.060259306527</v>
      </c>
      <c r="L133" s="133"/>
      <c r="M133" s="121">
        <f>IF(D133&gt;C133,C133-D133,0)</f>
        <v>0</v>
      </c>
      <c r="N133" s="122">
        <f>IF(D133&lt;C133,C133-D133,0)</f>
        <v>167.18800901399572</v>
      </c>
      <c r="O133"/>
    </row>
    <row r="134" spans="1:15" s="70" customFormat="1" ht="12.75" customHeight="1" thickBot="1">
      <c r="A134" s="134" t="s">
        <v>247</v>
      </c>
      <c r="B134" s="135" t="s">
        <v>71</v>
      </c>
      <c r="C134" s="239">
        <f>SUM(C129:C133)</f>
        <v>10343</v>
      </c>
      <c r="D134" s="136">
        <f>SUM(D129:D133)</f>
        <v>10019.0362557761</v>
      </c>
      <c r="E134" s="136">
        <f>SUM(E129:E133)</f>
        <v>10019.0362557761</v>
      </c>
      <c r="F134" s="137">
        <f>SUM(F129:F133)</f>
        <v>0</v>
      </c>
      <c r="G134" s="138">
        <f>SUM(G129:G133)</f>
        <v>10019.0362557761</v>
      </c>
      <c r="H134" s="137"/>
      <c r="I134" s="137">
        <f>SUM(I129:I133)</f>
        <v>17630.415095709133</v>
      </c>
      <c r="J134" s="137">
        <f>SUM(J129:J133)</f>
        <v>0</v>
      </c>
      <c r="K134" s="139">
        <f>SUM(K129:K133)</f>
        <v>17630.415095709133</v>
      </c>
      <c r="L134" s="140">
        <f>ROUND(K134*$N$186/$K$176,0)</f>
        <v>430838</v>
      </c>
      <c r="M134" s="141">
        <f>SUM(M129:M133)</f>
        <v>-13.395221030398261</v>
      </c>
      <c r="N134" s="142">
        <f>SUM(N129:N133)</f>
        <v>337.3589652542985</v>
      </c>
      <c r="O134"/>
    </row>
    <row r="135" spans="1:14" s="70" customFormat="1" ht="12.75" customHeight="1">
      <c r="A135" s="147" t="s">
        <v>248</v>
      </c>
      <c r="B135" s="112" t="s">
        <v>222</v>
      </c>
      <c r="C135" s="237">
        <v>192.5</v>
      </c>
      <c r="D135" s="113">
        <v>218.38040023623228</v>
      </c>
      <c r="E135" s="114">
        <f>IF(C135&gt;=0.9*D135,D135,C135+0.1*D135)</f>
        <v>214.33804002362322</v>
      </c>
      <c r="F135" s="115"/>
      <c r="G135" s="116">
        <f>E135+F135</f>
        <v>214.33804002362322</v>
      </c>
      <c r="H135" s="117">
        <v>5.9</v>
      </c>
      <c r="I135" s="115">
        <f>E135*H135</f>
        <v>1264.5944361393772</v>
      </c>
      <c r="J135" s="118"/>
      <c r="K135" s="119">
        <f>I135+J135</f>
        <v>1264.5944361393772</v>
      </c>
      <c r="L135" s="120"/>
      <c r="M135" s="121">
        <f>IF(D135&gt;C135,C135-D135,0)</f>
        <v>-25.880400236232276</v>
      </c>
      <c r="N135" s="122">
        <f>IF(D135&lt;C135,C135-D135,0)</f>
        <v>0</v>
      </c>
    </row>
    <row r="136" spans="1:14" s="70" customFormat="1" ht="12.75" customHeight="1">
      <c r="A136" s="111" t="s">
        <v>248</v>
      </c>
      <c r="B136" s="112" t="s">
        <v>223</v>
      </c>
      <c r="C136" s="237">
        <v>24</v>
      </c>
      <c r="D136" s="113">
        <v>26.116032822735022</v>
      </c>
      <c r="E136" s="114">
        <f>IF(C136&gt;=0.9*D136,D136,C136+0.1*D136)</f>
        <v>26.116032822735022</v>
      </c>
      <c r="F136" s="115"/>
      <c r="G136" s="116">
        <f>E136+F136</f>
        <v>26.116032822735022</v>
      </c>
      <c r="H136" s="117">
        <v>5.8999999999999995</v>
      </c>
      <c r="I136" s="115">
        <f>E136*H136</f>
        <v>154.08459365413663</v>
      </c>
      <c r="J136" s="118"/>
      <c r="K136" s="119">
        <f>I136+J136</f>
        <v>154.08459365413663</v>
      </c>
      <c r="L136" s="120"/>
      <c r="M136" s="121">
        <f>IF(D136&gt;C136,C136-D136,0)</f>
        <v>-2.116032822735022</v>
      </c>
      <c r="N136" s="122">
        <f>IF(D136&lt;C136,C136-D136,0)</f>
        <v>0</v>
      </c>
    </row>
    <row r="137" spans="1:14" s="70" customFormat="1" ht="12.75" customHeight="1">
      <c r="A137" s="111" t="s">
        <v>248</v>
      </c>
      <c r="B137" s="112" t="s">
        <v>224</v>
      </c>
      <c r="C137" s="237">
        <v>169</v>
      </c>
      <c r="D137" s="113">
        <v>161.06044891373242</v>
      </c>
      <c r="E137" s="114">
        <f>IF(C137&gt;=0.9*D137,D137,C137+0.1*D137)</f>
        <v>161.06044891373242</v>
      </c>
      <c r="F137" s="115"/>
      <c r="G137" s="116">
        <f>E137+F137</f>
        <v>161.06044891373242</v>
      </c>
      <c r="H137" s="117">
        <v>5.9</v>
      </c>
      <c r="I137" s="115">
        <f>E137*H137</f>
        <v>950.2566485910213</v>
      </c>
      <c r="J137" s="118"/>
      <c r="K137" s="119">
        <f>I137+J137</f>
        <v>950.2566485910213</v>
      </c>
      <c r="L137" s="120"/>
      <c r="M137" s="121">
        <f>IF(D137&gt;C137,C137-D137,0)</f>
        <v>0</v>
      </c>
      <c r="N137" s="122">
        <f>IF(D137&lt;C137,C137-D137,0)</f>
        <v>7.939551086267585</v>
      </c>
    </row>
    <row r="138" spans="1:14" ht="12.75" customHeight="1">
      <c r="A138" s="123" t="s">
        <v>248</v>
      </c>
      <c r="B138" s="124" t="s">
        <v>225</v>
      </c>
      <c r="C138" s="238">
        <v>23</v>
      </c>
      <c r="D138" s="125">
        <v>32.91078712660968</v>
      </c>
      <c r="E138" s="114">
        <f>IF(C138&gt;=0.9*D138,D138,C138+0.1*D138)</f>
        <v>26.29107871266097</v>
      </c>
      <c r="F138" s="126"/>
      <c r="G138" s="116">
        <f>E138+F138</f>
        <v>26.29107871266097</v>
      </c>
      <c r="H138" s="127">
        <v>5.8999999999999995</v>
      </c>
      <c r="I138" s="115">
        <f>E138*H138</f>
        <v>155.1173644046997</v>
      </c>
      <c r="J138" s="128"/>
      <c r="K138" s="119">
        <f>I138+J138</f>
        <v>155.1173644046997</v>
      </c>
      <c r="L138" s="129"/>
      <c r="M138" s="121">
        <f>IF(D138&gt;C138,C138-D138,0)</f>
        <v>-9.910787126609677</v>
      </c>
      <c r="N138" s="122">
        <f>IF(D138&lt;C138,C138-D138,0)</f>
        <v>0</v>
      </c>
    </row>
    <row r="139" spans="1:14" s="70" customFormat="1" ht="12.75" customHeight="1" thickBot="1">
      <c r="A139" s="130" t="s">
        <v>248</v>
      </c>
      <c r="B139" s="131" t="s">
        <v>226</v>
      </c>
      <c r="C139" s="237">
        <v>818</v>
      </c>
      <c r="D139" s="113">
        <v>823.4630042274941</v>
      </c>
      <c r="E139" s="114">
        <f>IF(C139&lt;D139,C139,D139)</f>
        <v>818</v>
      </c>
      <c r="F139" s="126"/>
      <c r="G139" s="116">
        <f>E139+F139</f>
        <v>818</v>
      </c>
      <c r="H139" s="117">
        <v>5.8999999999999995</v>
      </c>
      <c r="I139" s="115">
        <f>E139*H139</f>
        <v>4826.2</v>
      </c>
      <c r="J139" s="132"/>
      <c r="K139" s="119">
        <f>I139+J139</f>
        <v>4826.2</v>
      </c>
      <c r="L139" s="133"/>
      <c r="M139" s="121">
        <f>IF(D139&gt;C139,C139-D139,0)</f>
        <v>-5.463004227494139</v>
      </c>
      <c r="N139" s="122">
        <f>IF(D139&lt;C139,C139-D139,0)</f>
        <v>0</v>
      </c>
    </row>
    <row r="140" spans="1:14" s="70" customFormat="1" ht="12.75" customHeight="1" thickBot="1">
      <c r="A140" s="134" t="s">
        <v>248</v>
      </c>
      <c r="B140" s="135" t="s">
        <v>71</v>
      </c>
      <c r="C140" s="239">
        <f>SUM(C135:C139)</f>
        <v>1226.5</v>
      </c>
      <c r="D140" s="136">
        <f>SUM(D135:D139)</f>
        <v>1261.9306733268036</v>
      </c>
      <c r="E140" s="136">
        <f>SUM(E135:E139)</f>
        <v>1245.8056004727516</v>
      </c>
      <c r="F140" s="137">
        <f>SUM(F135:F139)</f>
        <v>0</v>
      </c>
      <c r="G140" s="138">
        <f>SUM(G135:G139)</f>
        <v>1245.8056004727516</v>
      </c>
      <c r="H140" s="137"/>
      <c r="I140" s="137">
        <f>SUM(I135:I139)</f>
        <v>7350.253042789234</v>
      </c>
      <c r="J140" s="137">
        <f>SUM(J135:J139)</f>
        <v>0</v>
      </c>
      <c r="K140" s="139">
        <f>SUM(K135:K139)</f>
        <v>7350.253042789234</v>
      </c>
      <c r="L140" s="140">
        <f>ROUND(K140*$N$186/$K$176,0)</f>
        <v>179619</v>
      </c>
      <c r="M140" s="141">
        <f>SUM(M135:M139)</f>
        <v>-43.370224413071114</v>
      </c>
      <c r="N140" s="142">
        <f>SUM(N135:N139)</f>
        <v>7.939551086267585</v>
      </c>
    </row>
    <row r="141" spans="1:14" s="70" customFormat="1" ht="12.75" customHeight="1">
      <c r="A141" s="147" t="s">
        <v>249</v>
      </c>
      <c r="B141" s="112" t="s">
        <v>222</v>
      </c>
      <c r="C141" s="237">
        <v>0</v>
      </c>
      <c r="D141" s="113">
        <v>0</v>
      </c>
      <c r="E141" s="114">
        <f>IF(C141&gt;=0.9*D141,D141,C141+0.1*D141)</f>
        <v>0</v>
      </c>
      <c r="F141" s="115"/>
      <c r="G141" s="116">
        <f>E141+F141</f>
        <v>0</v>
      </c>
      <c r="H141" s="117"/>
      <c r="I141" s="115">
        <f>E141*H141</f>
        <v>0</v>
      </c>
      <c r="J141" s="118"/>
      <c r="K141" s="119">
        <f>I141+J141</f>
        <v>0</v>
      </c>
      <c r="L141" s="120"/>
      <c r="M141" s="121">
        <f>IF(D141&gt;C141,C141-D141,0)</f>
        <v>0</v>
      </c>
      <c r="N141" s="122">
        <f>IF(D141&lt;C141,C141-D141,0)</f>
        <v>0</v>
      </c>
    </row>
    <row r="142" spans="1:14" s="70" customFormat="1" ht="12.75" customHeight="1">
      <c r="A142" s="111" t="s">
        <v>249</v>
      </c>
      <c r="B142" s="112" t="s">
        <v>223</v>
      </c>
      <c r="C142" s="237">
        <v>53</v>
      </c>
      <c r="D142" s="113">
        <v>47.4688305306247</v>
      </c>
      <c r="E142" s="114">
        <f>IF(C142&gt;=0.9*D142,D142,C142+0.1*D142)</f>
        <v>47.4688305306247</v>
      </c>
      <c r="F142" s="115"/>
      <c r="G142" s="116">
        <f>E142+F142</f>
        <v>47.4688305306247</v>
      </c>
      <c r="H142" s="117">
        <v>5.8999999999999995</v>
      </c>
      <c r="I142" s="115">
        <f>E142*H142</f>
        <v>280.0661001306857</v>
      </c>
      <c r="J142" s="118"/>
      <c r="K142" s="119">
        <f>I142+J142</f>
        <v>280.0661001306857</v>
      </c>
      <c r="L142" s="120"/>
      <c r="M142" s="121">
        <f>IF(D142&gt;C142,C142-D142,0)</f>
        <v>0</v>
      </c>
      <c r="N142" s="122">
        <f>IF(D142&lt;C142,C142-D142,0)</f>
        <v>5.5311694693753</v>
      </c>
    </row>
    <row r="143" spans="1:14" s="70" customFormat="1" ht="12.75" customHeight="1">
      <c r="A143" s="111" t="s">
        <v>249</v>
      </c>
      <c r="B143" s="112" t="s">
        <v>224</v>
      </c>
      <c r="C143" s="237">
        <v>0</v>
      </c>
      <c r="D143" s="113">
        <v>0</v>
      </c>
      <c r="E143" s="114">
        <f>IF(C143&gt;=0.9*D143,D143,C143+0.1*D143)</f>
        <v>0</v>
      </c>
      <c r="F143" s="115"/>
      <c r="G143" s="116">
        <f>E143+F143</f>
        <v>0</v>
      </c>
      <c r="H143" s="117"/>
      <c r="I143" s="115">
        <f>E143*H143</f>
        <v>0</v>
      </c>
      <c r="J143" s="118"/>
      <c r="K143" s="119">
        <f>I143+J143</f>
        <v>0</v>
      </c>
      <c r="L143" s="120"/>
      <c r="M143" s="121">
        <f>IF(D143&gt;C143,C143-D143,0)</f>
        <v>0</v>
      </c>
      <c r="N143" s="122">
        <f>IF(D143&lt;C143,C143-D143,0)</f>
        <v>0</v>
      </c>
    </row>
    <row r="144" spans="1:14" ht="12.75" customHeight="1">
      <c r="A144" s="123" t="s">
        <v>249</v>
      </c>
      <c r="B144" s="124" t="s">
        <v>225</v>
      </c>
      <c r="C144" s="238">
        <v>9</v>
      </c>
      <c r="D144" s="125">
        <v>6.222058139303439</v>
      </c>
      <c r="E144" s="114">
        <f>IF(C144&gt;=0.9*D144,D144,C144+0.1*D144)</f>
        <v>6.222058139303439</v>
      </c>
      <c r="F144" s="126"/>
      <c r="G144" s="116">
        <f>E144+F144</f>
        <v>6.222058139303439</v>
      </c>
      <c r="H144" s="127">
        <v>5.9</v>
      </c>
      <c r="I144" s="115">
        <f>E144*H144</f>
        <v>36.71014302189029</v>
      </c>
      <c r="J144" s="128"/>
      <c r="K144" s="119">
        <f>I144+J144</f>
        <v>36.71014302189029</v>
      </c>
      <c r="L144" s="129"/>
      <c r="M144" s="121">
        <f>IF(D144&gt;C144,C144-D144,0)</f>
        <v>0</v>
      </c>
      <c r="N144" s="122">
        <f>IF(D144&lt;C144,C144-D144,0)</f>
        <v>2.7779418606965613</v>
      </c>
    </row>
    <row r="145" spans="1:14" s="70" customFormat="1" ht="12.75" customHeight="1" thickBot="1">
      <c r="A145" s="130" t="s">
        <v>249</v>
      </c>
      <c r="B145" s="131" t="s">
        <v>226</v>
      </c>
      <c r="C145" s="237">
        <v>266.5</v>
      </c>
      <c r="D145" s="113">
        <v>270.38881857397496</v>
      </c>
      <c r="E145" s="114">
        <f>IF(C145&lt;D145,C145,D145)</f>
        <v>266.5</v>
      </c>
      <c r="F145" s="126"/>
      <c r="G145" s="116">
        <f>E145+F145</f>
        <v>266.5</v>
      </c>
      <c r="H145" s="117">
        <v>5.8999999999999995</v>
      </c>
      <c r="I145" s="115">
        <f>E145*H145</f>
        <v>1572.35</v>
      </c>
      <c r="J145" s="132"/>
      <c r="K145" s="119">
        <f>I145+J145</f>
        <v>1572.35</v>
      </c>
      <c r="L145" s="133"/>
      <c r="M145" s="121">
        <f>IF(D145&gt;C145,C145-D145,0)</f>
        <v>-3.888818573974959</v>
      </c>
      <c r="N145" s="122">
        <f>IF(D145&lt;C145,C145-D145,0)</f>
        <v>0</v>
      </c>
    </row>
    <row r="146" spans="1:14" s="70" customFormat="1" ht="12.75" customHeight="1" thickBot="1">
      <c r="A146" s="134" t="s">
        <v>249</v>
      </c>
      <c r="B146" s="135" t="s">
        <v>71</v>
      </c>
      <c r="C146" s="239">
        <f>SUM(C141:C145)</f>
        <v>328.5</v>
      </c>
      <c r="D146" s="136">
        <f>SUM(D141:D145)</f>
        <v>324.0797072439031</v>
      </c>
      <c r="E146" s="136">
        <f>SUM(E141:E145)</f>
        <v>320.19088866992814</v>
      </c>
      <c r="F146" s="137">
        <f>SUM(F141:F145)</f>
        <v>0</v>
      </c>
      <c r="G146" s="138">
        <f>SUM(G141:G145)</f>
        <v>320.19088866992814</v>
      </c>
      <c r="H146" s="137"/>
      <c r="I146" s="137">
        <f>SUM(I141:I145)</f>
        <v>1889.1262431525759</v>
      </c>
      <c r="J146" s="137">
        <f>SUM(J141:J145)</f>
        <v>0</v>
      </c>
      <c r="K146" s="139">
        <f>SUM(K141:K145)</f>
        <v>1889.1262431525759</v>
      </c>
      <c r="L146" s="140">
        <f>ROUND(K146*$N$186/$K$176,0)</f>
        <v>46165</v>
      </c>
      <c r="M146" s="141">
        <f>SUM(M141:M145)</f>
        <v>-3.888818573974959</v>
      </c>
      <c r="N146" s="142">
        <f>SUM(N141:N145)</f>
        <v>8.309111330071861</v>
      </c>
    </row>
    <row r="147" spans="1:14" s="70" customFormat="1" ht="12.75" customHeight="1">
      <c r="A147" s="147" t="s">
        <v>102</v>
      </c>
      <c r="B147" s="112" t="s">
        <v>222</v>
      </c>
      <c r="C147" s="237">
        <v>65</v>
      </c>
      <c r="D147" s="113">
        <v>64</v>
      </c>
      <c r="E147" s="114">
        <f>IF(C147&gt;=0.9*D147,D147,C147+0.1*D147)</f>
        <v>64</v>
      </c>
      <c r="F147" s="115"/>
      <c r="G147" s="116">
        <f>E147+F147</f>
        <v>64</v>
      </c>
      <c r="H147" s="117">
        <v>5.9</v>
      </c>
      <c r="I147" s="115">
        <f>E147*H147</f>
        <v>377.6</v>
      </c>
      <c r="J147" s="118"/>
      <c r="K147" s="119">
        <f>I147+J147</f>
        <v>377.6</v>
      </c>
      <c r="L147" s="120"/>
      <c r="M147" s="121">
        <f>IF(D147&gt;C147,C147-D147,0)</f>
        <v>0</v>
      </c>
      <c r="N147" s="122">
        <f>IF(D147&lt;C147,C147-D147,0)</f>
        <v>1</v>
      </c>
    </row>
    <row r="148" spans="1:14" s="70" customFormat="1" ht="12.75" customHeight="1">
      <c r="A148" s="111" t="s">
        <v>102</v>
      </c>
      <c r="B148" s="112" t="s">
        <v>223</v>
      </c>
      <c r="C148" s="237">
        <v>2</v>
      </c>
      <c r="D148" s="113">
        <v>0</v>
      </c>
      <c r="E148" s="114">
        <f>IF(C148&gt;=0.9*D148,D148,C148+0.1*D148)</f>
        <v>0</v>
      </c>
      <c r="F148" s="115"/>
      <c r="G148" s="116">
        <f>E148+F148</f>
        <v>0</v>
      </c>
      <c r="H148" s="117">
        <v>5.9</v>
      </c>
      <c r="I148" s="115">
        <f>E148*H148</f>
        <v>0</v>
      </c>
      <c r="J148" s="118"/>
      <c r="K148" s="119">
        <f>I148+J148</f>
        <v>0</v>
      </c>
      <c r="L148" s="120"/>
      <c r="M148" s="121">
        <f>IF(D148&gt;C148,C148-D148,0)</f>
        <v>0</v>
      </c>
      <c r="N148" s="122">
        <f>IF(D148&lt;C148,C148-D148,0)</f>
        <v>2</v>
      </c>
    </row>
    <row r="149" spans="1:14" s="70" customFormat="1" ht="12.75" customHeight="1">
      <c r="A149" s="111" t="s">
        <v>102</v>
      </c>
      <c r="B149" s="112" t="s">
        <v>224</v>
      </c>
      <c r="C149" s="237">
        <v>27</v>
      </c>
      <c r="D149" s="113">
        <v>27</v>
      </c>
      <c r="E149" s="114">
        <f>IF(C149&gt;=0.9*D149,D149,C149+0.1*D149)</f>
        <v>27</v>
      </c>
      <c r="F149" s="115"/>
      <c r="G149" s="116">
        <f>E149+F149</f>
        <v>27</v>
      </c>
      <c r="H149" s="117">
        <v>4.266666666666667</v>
      </c>
      <c r="I149" s="115">
        <f>E149*H149</f>
        <v>115.2</v>
      </c>
      <c r="J149" s="118"/>
      <c r="K149" s="119">
        <f>I149+J149</f>
        <v>115.2</v>
      </c>
      <c r="L149" s="120"/>
      <c r="M149" s="121">
        <f>IF(D149&gt;C149,C149-D149,0)</f>
        <v>0</v>
      </c>
      <c r="N149" s="122">
        <f>IF(D149&lt;C149,C149-D149,0)</f>
        <v>0</v>
      </c>
    </row>
    <row r="150" spans="1:14" ht="12.75" customHeight="1">
      <c r="A150" s="123" t="s">
        <v>102</v>
      </c>
      <c r="B150" s="124" t="s">
        <v>225</v>
      </c>
      <c r="C150" s="238">
        <v>5</v>
      </c>
      <c r="D150" s="125">
        <v>4</v>
      </c>
      <c r="E150" s="114">
        <f>IF(C150&gt;=0.9*D150,D150,C150+0.1*D150)</f>
        <v>4</v>
      </c>
      <c r="F150" s="126"/>
      <c r="G150" s="116">
        <f>E150+F150</f>
        <v>4</v>
      </c>
      <c r="H150" s="127">
        <v>2.96</v>
      </c>
      <c r="I150" s="115">
        <f>E150*H150</f>
        <v>11.84</v>
      </c>
      <c r="J150" s="128"/>
      <c r="K150" s="119">
        <f>I150+J150</f>
        <v>11.84</v>
      </c>
      <c r="L150" s="129"/>
      <c r="M150" s="121">
        <f>IF(D150&gt;C150,C150-D150,0)</f>
        <v>0</v>
      </c>
      <c r="N150" s="122">
        <f>IF(D150&lt;C150,C150-D150,0)</f>
        <v>1</v>
      </c>
    </row>
    <row r="151" spans="1:14" s="70" customFormat="1" ht="12.75" customHeight="1" thickBot="1">
      <c r="A151" s="130" t="s">
        <v>102</v>
      </c>
      <c r="B151" s="131" t="s">
        <v>226</v>
      </c>
      <c r="C151" s="237">
        <v>339.5</v>
      </c>
      <c r="D151" s="113">
        <v>351</v>
      </c>
      <c r="E151" s="114">
        <f>IF(C151&lt;D151,C151,D151)</f>
        <v>339.5</v>
      </c>
      <c r="F151" s="126"/>
      <c r="G151" s="116">
        <f>E151+F151</f>
        <v>339.5</v>
      </c>
      <c r="H151" s="117">
        <v>5.6835051546391755</v>
      </c>
      <c r="I151" s="115">
        <f>E151*H151</f>
        <v>1929.5500000000002</v>
      </c>
      <c r="J151" s="132"/>
      <c r="K151" s="119">
        <f>I151+J151</f>
        <v>1929.5500000000002</v>
      </c>
      <c r="L151" s="133"/>
      <c r="M151" s="121">
        <f>IF(D151&gt;C151,C151-D151,0)</f>
        <v>-11.5</v>
      </c>
      <c r="N151" s="122">
        <f>IF(D151&lt;C151,C151-D151,0)</f>
        <v>0</v>
      </c>
    </row>
    <row r="152" spans="1:14" s="70" customFormat="1" ht="12.75" customHeight="1" thickBot="1">
      <c r="A152" s="134" t="s">
        <v>102</v>
      </c>
      <c r="B152" s="135" t="s">
        <v>71</v>
      </c>
      <c r="C152" s="239">
        <f>SUM(C147:C151)</f>
        <v>438.5</v>
      </c>
      <c r="D152" s="136">
        <f>SUM(D147:D151)</f>
        <v>446</v>
      </c>
      <c r="E152" s="136">
        <f>SUM(E147:E151)</f>
        <v>434.5</v>
      </c>
      <c r="F152" s="137">
        <f>SUM(F147:F151)</f>
        <v>0</v>
      </c>
      <c r="G152" s="138">
        <f>SUM(G147:G151)</f>
        <v>434.5</v>
      </c>
      <c r="H152" s="137"/>
      <c r="I152" s="137">
        <f>SUM(I147:I151)</f>
        <v>2434.19</v>
      </c>
      <c r="J152" s="137">
        <f>SUM(J147:J151)</f>
        <v>0</v>
      </c>
      <c r="K152" s="139">
        <f>SUM(K147:K151)</f>
        <v>2434.19</v>
      </c>
      <c r="L152" s="140">
        <f>ROUND(K152*$N$186/$K$176,0)</f>
        <v>59485</v>
      </c>
      <c r="M152" s="141">
        <f>SUM(M147:M151)</f>
        <v>-11.5</v>
      </c>
      <c r="N152" s="142">
        <f>SUM(N147:N151)</f>
        <v>4</v>
      </c>
    </row>
    <row r="153" spans="1:14" s="70" customFormat="1" ht="12.75" customHeight="1">
      <c r="A153" s="147" t="s">
        <v>250</v>
      </c>
      <c r="B153" s="112" t="s">
        <v>222</v>
      </c>
      <c r="C153" s="237">
        <v>156.5</v>
      </c>
      <c r="D153" s="113">
        <v>141</v>
      </c>
      <c r="E153" s="114">
        <f>IF(C153&gt;=0.9*D153,D153,C153+0.1*D153)</f>
        <v>141</v>
      </c>
      <c r="F153" s="115"/>
      <c r="G153" s="116">
        <f>E153+F153</f>
        <v>141</v>
      </c>
      <c r="H153" s="117">
        <v>5.9</v>
      </c>
      <c r="I153" s="115">
        <f>E153*H153</f>
        <v>831.9000000000001</v>
      </c>
      <c r="J153" s="118"/>
      <c r="K153" s="119">
        <f>I153+J153</f>
        <v>831.9000000000001</v>
      </c>
      <c r="L153" s="120"/>
      <c r="M153" s="121">
        <f>IF(D153&gt;C153,C153-D153,0)</f>
        <v>0</v>
      </c>
      <c r="N153" s="122">
        <f>IF(D153&lt;C153,C153-D153,0)</f>
        <v>15.5</v>
      </c>
    </row>
    <row r="154" spans="1:14" s="70" customFormat="1" ht="12.75" customHeight="1">
      <c r="A154" s="111" t="s">
        <v>250</v>
      </c>
      <c r="B154" s="112" t="s">
        <v>223</v>
      </c>
      <c r="C154" s="237">
        <v>32</v>
      </c>
      <c r="D154" s="113">
        <v>34</v>
      </c>
      <c r="E154" s="114">
        <f>IF(C154&gt;=0.9*D154,D154,C154+0.1*D154)</f>
        <v>34</v>
      </c>
      <c r="F154" s="115"/>
      <c r="G154" s="116">
        <f>E154+F154</f>
        <v>34</v>
      </c>
      <c r="H154" s="117">
        <v>5.9</v>
      </c>
      <c r="I154" s="115">
        <f>E154*H154</f>
        <v>200.60000000000002</v>
      </c>
      <c r="J154" s="118"/>
      <c r="K154" s="119">
        <f>I154+J154</f>
        <v>200.60000000000002</v>
      </c>
      <c r="L154" s="120"/>
      <c r="M154" s="121">
        <f>IF(D154&gt;C154,C154-D154,0)</f>
        <v>-2</v>
      </c>
      <c r="N154" s="122">
        <f>IF(D154&lt;C154,C154-D154,0)</f>
        <v>0</v>
      </c>
    </row>
    <row r="155" spans="1:14" s="70" customFormat="1" ht="12.75" customHeight="1">
      <c r="A155" s="111" t="s">
        <v>250</v>
      </c>
      <c r="B155" s="112" t="s">
        <v>224</v>
      </c>
      <c r="C155" s="237">
        <v>72</v>
      </c>
      <c r="D155" s="113">
        <v>76</v>
      </c>
      <c r="E155" s="114">
        <f>IF(C155&gt;=0.9*D155,D155,C155+0.1*D155)</f>
        <v>76</v>
      </c>
      <c r="F155" s="115"/>
      <c r="G155" s="116">
        <f>E155+F155</f>
        <v>76</v>
      </c>
      <c r="H155" s="117">
        <v>5.9</v>
      </c>
      <c r="I155" s="115">
        <f>E155*H155</f>
        <v>448.40000000000003</v>
      </c>
      <c r="J155" s="118"/>
      <c r="K155" s="119">
        <f>I155+J155</f>
        <v>448.40000000000003</v>
      </c>
      <c r="L155" s="120"/>
      <c r="M155" s="121">
        <f>IF(D155&gt;C155,C155-D155,0)</f>
        <v>-4</v>
      </c>
      <c r="N155" s="122">
        <f>IF(D155&lt;C155,C155-D155,0)</f>
        <v>0</v>
      </c>
    </row>
    <row r="156" spans="1:14" ht="12.75" customHeight="1">
      <c r="A156" s="123" t="s">
        <v>250</v>
      </c>
      <c r="B156" s="124" t="s">
        <v>225</v>
      </c>
      <c r="C156" s="238">
        <v>11</v>
      </c>
      <c r="D156" s="125">
        <v>10</v>
      </c>
      <c r="E156" s="114">
        <f>IF(C156&gt;=0.9*D156,D156,C156+0.1*D156)</f>
        <v>10</v>
      </c>
      <c r="F156" s="126"/>
      <c r="G156" s="116">
        <f>E156+F156</f>
        <v>10</v>
      </c>
      <c r="H156" s="127">
        <v>5.9</v>
      </c>
      <c r="I156" s="115">
        <f>E156*H156</f>
        <v>59</v>
      </c>
      <c r="J156" s="128"/>
      <c r="K156" s="119">
        <f>I156+J156</f>
        <v>59</v>
      </c>
      <c r="L156" s="129"/>
      <c r="M156" s="121">
        <f>IF(D156&gt;C156,C156-D156,0)</f>
        <v>0</v>
      </c>
      <c r="N156" s="122">
        <f>IF(D156&lt;C156,C156-D156,0)</f>
        <v>1</v>
      </c>
    </row>
    <row r="157" spans="1:14" s="70" customFormat="1" ht="12.75" customHeight="1" thickBot="1">
      <c r="A157" s="130" t="s">
        <v>250</v>
      </c>
      <c r="B157" s="131" t="s">
        <v>226</v>
      </c>
      <c r="C157" s="237">
        <v>422</v>
      </c>
      <c r="D157" s="113">
        <v>441</v>
      </c>
      <c r="E157" s="114">
        <f>IF(C157&lt;D157,C157,D157)</f>
        <v>422</v>
      </c>
      <c r="F157" s="126"/>
      <c r="G157" s="116">
        <f>E157+F157</f>
        <v>422</v>
      </c>
      <c r="H157" s="117">
        <v>5.8999999999999995</v>
      </c>
      <c r="I157" s="115">
        <f>E157*H157</f>
        <v>2489.7999999999997</v>
      </c>
      <c r="J157" s="132"/>
      <c r="K157" s="119">
        <f>I157+J157</f>
        <v>2489.7999999999997</v>
      </c>
      <c r="L157" s="133"/>
      <c r="M157" s="121">
        <f>IF(D157&gt;C157,C157-D157,0)</f>
        <v>-19</v>
      </c>
      <c r="N157" s="122">
        <f>IF(D157&lt;C157,C157-D157,0)</f>
        <v>0</v>
      </c>
    </row>
    <row r="158" spans="1:14" s="70" customFormat="1" ht="12.75" customHeight="1" thickBot="1">
      <c r="A158" s="134" t="s">
        <v>250</v>
      </c>
      <c r="B158" s="135" t="s">
        <v>71</v>
      </c>
      <c r="C158" s="239">
        <f>SUM(C153:C157)</f>
        <v>693.5</v>
      </c>
      <c r="D158" s="136">
        <f>SUM(D153:D157)</f>
        <v>702</v>
      </c>
      <c r="E158" s="136">
        <f>SUM(E153:E157)</f>
        <v>683</v>
      </c>
      <c r="F158" s="137">
        <f>SUM(F153:F157)</f>
        <v>0</v>
      </c>
      <c r="G158" s="138">
        <f>SUM(G153:G157)</f>
        <v>683</v>
      </c>
      <c r="H158" s="137"/>
      <c r="I158" s="137">
        <f>SUM(I153:I157)</f>
        <v>4029.7</v>
      </c>
      <c r="J158" s="137">
        <f>SUM(J153:J157)</f>
        <v>0</v>
      </c>
      <c r="K158" s="139">
        <f>SUM(K153:K157)</f>
        <v>4029.7</v>
      </c>
      <c r="L158" s="140">
        <f>ROUND(K158*$N$186/$K$176,0)</f>
        <v>98475</v>
      </c>
      <c r="M158" s="141">
        <f>SUM(M153:M157)</f>
        <v>-25</v>
      </c>
      <c r="N158" s="142">
        <f>SUM(N153:N157)</f>
        <v>16.5</v>
      </c>
    </row>
    <row r="159" spans="1:14" s="70" customFormat="1" ht="12.75" customHeight="1">
      <c r="A159" s="147" t="s">
        <v>251</v>
      </c>
      <c r="B159" s="112" t="s">
        <v>222</v>
      </c>
      <c r="C159" s="237">
        <v>1257.5</v>
      </c>
      <c r="D159" s="113">
        <v>1353.2334562479025</v>
      </c>
      <c r="E159" s="114">
        <f>IF(C159&gt;=0.9*D159,D159,C159+0.1*D159)</f>
        <v>1353.2334562479025</v>
      </c>
      <c r="F159" s="115"/>
      <c r="G159" s="116">
        <f>E159+F159</f>
        <v>1353.2334562479025</v>
      </c>
      <c r="H159" s="117">
        <v>1.166958250497018</v>
      </c>
      <c r="I159" s="115">
        <f>E159*H159</f>
        <v>1579.1669466170852</v>
      </c>
      <c r="J159" s="118"/>
      <c r="K159" s="119">
        <f>I159+J159</f>
        <v>1579.1669466170852</v>
      </c>
      <c r="L159" s="120"/>
      <c r="M159" s="121">
        <f>IF(D159&gt;C159,C159-D159,0)</f>
        <v>-95.7334562479025</v>
      </c>
      <c r="N159" s="122">
        <f>IF(D159&lt;C159,C159-D159,0)</f>
        <v>0</v>
      </c>
    </row>
    <row r="160" spans="1:14" s="70" customFormat="1" ht="12.75" customHeight="1">
      <c r="A160" s="111" t="s">
        <v>251</v>
      </c>
      <c r="B160" s="112" t="s">
        <v>223</v>
      </c>
      <c r="C160" s="237">
        <v>0</v>
      </c>
      <c r="D160" s="113">
        <v>0</v>
      </c>
      <c r="E160" s="114">
        <f>IF(C160&gt;=0.9*D160,D160,C160+0.1*D160)</f>
        <v>0</v>
      </c>
      <c r="F160" s="115"/>
      <c r="G160" s="116">
        <f>E160+F160</f>
        <v>0</v>
      </c>
      <c r="H160" s="117"/>
      <c r="I160" s="115">
        <f>E160*H160</f>
        <v>0</v>
      </c>
      <c r="J160" s="118"/>
      <c r="K160" s="119">
        <f>I160+J160</f>
        <v>0</v>
      </c>
      <c r="L160" s="120"/>
      <c r="M160" s="121">
        <f>IF(D160&gt;C160,C160-D160,0)</f>
        <v>0</v>
      </c>
      <c r="N160" s="122">
        <f>IF(D160&lt;C160,C160-D160,0)</f>
        <v>0</v>
      </c>
    </row>
    <row r="161" spans="1:14" s="70" customFormat="1" ht="12.75" customHeight="1">
      <c r="A161" s="111" t="s">
        <v>251</v>
      </c>
      <c r="B161" s="112" t="s">
        <v>224</v>
      </c>
      <c r="C161" s="237">
        <v>0</v>
      </c>
      <c r="D161" s="113">
        <v>0</v>
      </c>
      <c r="E161" s="114">
        <f>IF(C161&gt;=0.9*D161,D161,C161+0.1*D161)</f>
        <v>0</v>
      </c>
      <c r="F161" s="115"/>
      <c r="G161" s="116">
        <f>E161+F161</f>
        <v>0</v>
      </c>
      <c r="H161" s="117"/>
      <c r="I161" s="115">
        <f>E161*H161</f>
        <v>0</v>
      </c>
      <c r="J161" s="118"/>
      <c r="K161" s="119">
        <f>I161+J161</f>
        <v>0</v>
      </c>
      <c r="L161" s="120"/>
      <c r="M161" s="121">
        <f>IF(D161&gt;C161,C161-D161,0)</f>
        <v>0</v>
      </c>
      <c r="N161" s="122">
        <f>IF(D161&lt;C161,C161-D161,0)</f>
        <v>0</v>
      </c>
    </row>
    <row r="162" spans="1:14" ht="12.75" customHeight="1">
      <c r="A162" s="123" t="s">
        <v>104</v>
      </c>
      <c r="B162" s="124" t="s">
        <v>225</v>
      </c>
      <c r="C162" s="238">
        <v>0</v>
      </c>
      <c r="D162" s="125">
        <v>0.2274741532869939</v>
      </c>
      <c r="E162" s="114">
        <f>IF(C162&gt;=0.9*D162,D162,C162+0.1*D162)</f>
        <v>0.022747415328699394</v>
      </c>
      <c r="F162" s="126"/>
      <c r="G162" s="116">
        <f>E162+F162</f>
        <v>0.022747415328699394</v>
      </c>
      <c r="H162" s="127"/>
      <c r="I162" s="115">
        <f>E162*H162</f>
        <v>0</v>
      </c>
      <c r="J162" s="128"/>
      <c r="K162" s="119">
        <f>I162+J162</f>
        <v>0</v>
      </c>
      <c r="L162" s="129"/>
      <c r="M162" s="121">
        <f>IF(D162&gt;C162,C162-D162,0)</f>
        <v>-0.2274741532869939</v>
      </c>
      <c r="N162" s="122">
        <f>IF(D162&lt;C162,C162-D162,0)</f>
        <v>0</v>
      </c>
    </row>
    <row r="163" spans="1:14" s="70" customFormat="1" ht="12.75" customHeight="1" thickBot="1">
      <c r="A163" s="130" t="s">
        <v>252</v>
      </c>
      <c r="B163" s="131" t="s">
        <v>226</v>
      </c>
      <c r="C163" s="237">
        <v>1763.5</v>
      </c>
      <c r="D163" s="113">
        <v>1868.4365720567073</v>
      </c>
      <c r="E163" s="114">
        <f>IF(C163&lt;D163,C163,D163)</f>
        <v>1763.5</v>
      </c>
      <c r="F163" s="126"/>
      <c r="G163" s="116">
        <f>E163+F163</f>
        <v>1763.5</v>
      </c>
      <c r="H163" s="117">
        <v>1.1046781967677912</v>
      </c>
      <c r="I163" s="115">
        <f>E163*H163</f>
        <v>1948.1</v>
      </c>
      <c r="J163" s="132"/>
      <c r="K163" s="119">
        <f>I163+J163</f>
        <v>1948.1</v>
      </c>
      <c r="L163" s="133"/>
      <c r="M163" s="121">
        <f>IF(D163&gt;C163,C163-D163,0)</f>
        <v>-104.93657205670729</v>
      </c>
      <c r="N163" s="122">
        <f>IF(D163&lt;C163,C163-D163,0)</f>
        <v>0</v>
      </c>
    </row>
    <row r="164" spans="1:14" s="70" customFormat="1" ht="12.75" customHeight="1" thickBot="1">
      <c r="A164" s="134" t="s">
        <v>252</v>
      </c>
      <c r="B164" s="135" t="s">
        <v>71</v>
      </c>
      <c r="C164" s="239">
        <f>SUM(C159:C163)</f>
        <v>3021</v>
      </c>
      <c r="D164" s="136">
        <f>SUM(D159:D163)</f>
        <v>3221.8975024578967</v>
      </c>
      <c r="E164" s="136">
        <f>SUM(E159:E163)</f>
        <v>3116.756203663231</v>
      </c>
      <c r="F164" s="137">
        <f>SUM(F159:F163)</f>
        <v>0</v>
      </c>
      <c r="G164" s="138">
        <f>SUM(G159:G163)</f>
        <v>3116.756203663231</v>
      </c>
      <c r="H164" s="137"/>
      <c r="I164" s="137">
        <f>SUM(I159:I163)</f>
        <v>3527.266946617085</v>
      </c>
      <c r="J164" s="137">
        <f>SUM(J159:J163)</f>
        <v>0</v>
      </c>
      <c r="K164" s="139">
        <f>SUM(K159:K163)</f>
        <v>3527.266946617085</v>
      </c>
      <c r="L164" s="140">
        <f>ROUND(K164*$N$186/$K$176,0)</f>
        <v>86196</v>
      </c>
      <c r="M164" s="141">
        <f>SUM(M159:M163)</f>
        <v>-200.8975024578968</v>
      </c>
      <c r="N164" s="142">
        <f>SUM(N159:N163)</f>
        <v>0</v>
      </c>
    </row>
    <row r="165" spans="1:14" s="70" customFormat="1" ht="12.75" customHeight="1">
      <c r="A165" s="147" t="s">
        <v>253</v>
      </c>
      <c r="B165" s="112" t="s">
        <v>222</v>
      </c>
      <c r="C165" s="237">
        <v>1624</v>
      </c>
      <c r="D165" s="113">
        <v>1510</v>
      </c>
      <c r="E165" s="114">
        <f>IF(C165&gt;=0.9*D165,D165,C165+0.1*D165)</f>
        <v>1510</v>
      </c>
      <c r="F165" s="115"/>
      <c r="G165" s="116">
        <f>E165+F165</f>
        <v>1510</v>
      </c>
      <c r="H165" s="117">
        <v>1.2135344827586207</v>
      </c>
      <c r="I165" s="115">
        <f>E165*H165</f>
        <v>1832.4370689655173</v>
      </c>
      <c r="J165" s="118"/>
      <c r="K165" s="119">
        <f>I165+J165</f>
        <v>1832.4370689655173</v>
      </c>
      <c r="L165" s="120"/>
      <c r="M165" s="121">
        <f>IF(D165&gt;C165,C165-D165,0)</f>
        <v>0</v>
      </c>
      <c r="N165" s="122">
        <f>IF(D165&lt;C165,C165-D165,0)</f>
        <v>114</v>
      </c>
    </row>
    <row r="166" spans="1:14" s="70" customFormat="1" ht="12.75" customHeight="1">
      <c r="A166" s="111" t="s">
        <v>253</v>
      </c>
      <c r="B166" s="112" t="s">
        <v>223</v>
      </c>
      <c r="C166" s="237">
        <v>0</v>
      </c>
      <c r="D166" s="113">
        <v>0</v>
      </c>
      <c r="E166" s="114">
        <f>IF(C166&gt;=0.9*D166,D166,C166+0.1*D166)</f>
        <v>0</v>
      </c>
      <c r="F166" s="115"/>
      <c r="G166" s="116">
        <f>E166+F166</f>
        <v>0</v>
      </c>
      <c r="H166" s="117"/>
      <c r="I166" s="115">
        <f>E166*H166</f>
        <v>0</v>
      </c>
      <c r="J166" s="118"/>
      <c r="K166" s="119">
        <f>I166+J166</f>
        <v>0</v>
      </c>
      <c r="L166" s="120"/>
      <c r="M166" s="121">
        <f>IF(D166&gt;C166,C166-D166,0)</f>
        <v>0</v>
      </c>
      <c r="N166" s="122">
        <f>IF(D166&lt;C166,C166-D166,0)</f>
        <v>0</v>
      </c>
    </row>
    <row r="167" spans="1:14" s="70" customFormat="1" ht="12.75" customHeight="1">
      <c r="A167" s="111" t="s">
        <v>253</v>
      </c>
      <c r="B167" s="112" t="s">
        <v>224</v>
      </c>
      <c r="C167" s="237">
        <v>0</v>
      </c>
      <c r="D167" s="113">
        <v>0</v>
      </c>
      <c r="E167" s="114">
        <f>IF(C167&gt;=0.9*D167,D167,C167+0.1*D167)</f>
        <v>0</v>
      </c>
      <c r="F167" s="115"/>
      <c r="G167" s="116">
        <f>E167+F167</f>
        <v>0</v>
      </c>
      <c r="H167" s="117"/>
      <c r="I167" s="115">
        <f>E167*H167</f>
        <v>0</v>
      </c>
      <c r="J167" s="118"/>
      <c r="K167" s="119">
        <f>I167+J167</f>
        <v>0</v>
      </c>
      <c r="L167" s="120"/>
      <c r="M167" s="121">
        <f>IF(D167&gt;C167,C167-D167,0)</f>
        <v>0</v>
      </c>
      <c r="N167" s="122">
        <f>IF(D167&lt;C167,C167-D167,0)</f>
        <v>0</v>
      </c>
    </row>
    <row r="168" spans="1:14" ht="12.75" customHeight="1">
      <c r="A168" s="123" t="s">
        <v>254</v>
      </c>
      <c r="B168" s="124" t="s">
        <v>225</v>
      </c>
      <c r="C168" s="238">
        <v>0</v>
      </c>
      <c r="D168" s="125">
        <v>0</v>
      </c>
      <c r="E168" s="114">
        <f>IF(C168&gt;=0.9*D168,D168,C168+0.1*D168)</f>
        <v>0</v>
      </c>
      <c r="F168" s="126"/>
      <c r="G168" s="116">
        <f>E168+F168</f>
        <v>0</v>
      </c>
      <c r="H168" s="127"/>
      <c r="I168" s="115">
        <f>E168*H168</f>
        <v>0</v>
      </c>
      <c r="J168" s="128"/>
      <c r="K168" s="119">
        <f>I168+J168</f>
        <v>0</v>
      </c>
      <c r="L168" s="129"/>
      <c r="M168" s="121">
        <f>IF(D168&gt;C168,C168-D168,0)</f>
        <v>0</v>
      </c>
      <c r="N168" s="122">
        <f>IF(D168&lt;C168,C168-D168,0)</f>
        <v>0</v>
      </c>
    </row>
    <row r="169" spans="1:14" s="70" customFormat="1" ht="12.75" customHeight="1" thickBot="1">
      <c r="A169" s="130" t="s">
        <v>255</v>
      </c>
      <c r="B169" s="131" t="s">
        <v>226</v>
      </c>
      <c r="C169" s="237">
        <v>1354.5</v>
      </c>
      <c r="D169" s="113">
        <v>1535</v>
      </c>
      <c r="E169" s="114">
        <f>IF(C169&lt;D169,C169,D169)</f>
        <v>1354.5</v>
      </c>
      <c r="F169" s="126"/>
      <c r="G169" s="116">
        <f>E169+F169</f>
        <v>1354.5</v>
      </c>
      <c r="H169" s="117">
        <v>1.2209892949427832</v>
      </c>
      <c r="I169" s="115">
        <f>E169*H169</f>
        <v>1653.83</v>
      </c>
      <c r="J169" s="132"/>
      <c r="K169" s="119">
        <f>I169+J169</f>
        <v>1653.83</v>
      </c>
      <c r="L169" s="133"/>
      <c r="M169" s="121">
        <f>IF(D169&gt;C169,C169-D169,0)</f>
        <v>-180.5</v>
      </c>
      <c r="N169" s="122">
        <f>IF(D169&lt;C169,C169-D169,0)</f>
        <v>0</v>
      </c>
    </row>
    <row r="170" spans="1:14" s="70" customFormat="1" ht="12.75" customHeight="1" thickBot="1">
      <c r="A170" s="134" t="s">
        <v>255</v>
      </c>
      <c r="B170" s="135" t="s">
        <v>71</v>
      </c>
      <c r="C170" s="239">
        <f>SUM(C165:C169)</f>
        <v>2978.5</v>
      </c>
      <c r="D170" s="153">
        <f>SUM(D165:D169)</f>
        <v>3045</v>
      </c>
      <c r="E170" s="154">
        <f>SUM(E165:E169)</f>
        <v>2864.5</v>
      </c>
      <c r="F170" s="138">
        <f>SUM(F165:F169)</f>
        <v>0</v>
      </c>
      <c r="G170" s="138">
        <f>SUM(G165:G169)</f>
        <v>2864.5</v>
      </c>
      <c r="H170" s="137"/>
      <c r="I170" s="137">
        <f>SUM(I165:I169)</f>
        <v>3486.267068965517</v>
      </c>
      <c r="J170" s="137">
        <f>SUM(J165:J169)</f>
        <v>0</v>
      </c>
      <c r="K170" s="139">
        <f>SUM(K165:K169)</f>
        <v>3486.267068965517</v>
      </c>
      <c r="L170" s="140">
        <f>ROUND(K170*$N$186/$K$176,0)</f>
        <v>85195</v>
      </c>
      <c r="M170" s="141">
        <f>SUM(M165:M169)</f>
        <v>-180.5</v>
      </c>
      <c r="N170" s="142">
        <f>SUM(N165:N169)</f>
        <v>114</v>
      </c>
    </row>
    <row r="171" spans="1:14" s="70" customFormat="1" ht="12.75" customHeight="1" thickBot="1">
      <c r="A171" s="155" t="s">
        <v>256</v>
      </c>
      <c r="B171" s="156" t="s">
        <v>222</v>
      </c>
      <c r="C171" s="240">
        <f aca="true" t="shared" si="0" ref="C171:G176">C15+C21+C27+C33+C39+C45+C51+C57+C63+C69+C75+C81+C87+C93+C99+C105+C111+C117+C123+C129+C135+C141+C147+C153+C159+C165</f>
        <v>86243</v>
      </c>
      <c r="D171" s="158">
        <f t="shared" si="0"/>
        <v>84953.065203019</v>
      </c>
      <c r="E171" s="159">
        <f t="shared" si="0"/>
        <v>84949.02284280639</v>
      </c>
      <c r="F171" s="160">
        <f t="shared" si="0"/>
        <v>0</v>
      </c>
      <c r="G171" s="161">
        <f t="shared" si="0"/>
        <v>84949.02284280639</v>
      </c>
      <c r="H171" s="161"/>
      <c r="I171" s="162">
        <f aca="true" t="shared" si="1" ref="I171:N176">I15+I21+I27+I33+I39+I45+I51+I57+I63+I69+I75+I81+I87+I93+I99+I105+I111+I117+I123+I129+I135+I141+I147+I153+I159+I165</f>
        <v>131227.0473459932</v>
      </c>
      <c r="J171" s="162">
        <f t="shared" si="1"/>
        <v>0</v>
      </c>
      <c r="K171" s="163">
        <f t="shared" si="1"/>
        <v>131227.0473459932</v>
      </c>
      <c r="L171" s="164">
        <f t="shared" si="1"/>
        <v>0</v>
      </c>
      <c r="M171" s="165">
        <f t="shared" si="1"/>
        <v>-1686.5749157129742</v>
      </c>
      <c r="N171" s="157">
        <f t="shared" si="1"/>
        <v>2976.5097126939922</v>
      </c>
    </row>
    <row r="172" spans="1:14" s="70" customFormat="1" ht="12.75" customHeight="1" thickBot="1" thickTop="1">
      <c r="A172" s="166" t="s">
        <v>256</v>
      </c>
      <c r="B172" s="167" t="s">
        <v>223</v>
      </c>
      <c r="C172" s="241">
        <f t="shared" si="0"/>
        <v>6447.5</v>
      </c>
      <c r="D172" s="169">
        <f t="shared" si="0"/>
        <v>6463.402642205968</v>
      </c>
      <c r="E172" s="170">
        <f t="shared" si="0"/>
        <v>6393.880192704966</v>
      </c>
      <c r="F172" s="171">
        <f t="shared" si="0"/>
        <v>338</v>
      </c>
      <c r="G172" s="172">
        <f t="shared" si="0"/>
        <v>6731.880192704966</v>
      </c>
      <c r="H172" s="172"/>
      <c r="I172" s="172">
        <f t="shared" si="1"/>
        <v>12252.171829222158</v>
      </c>
      <c r="J172" s="172">
        <f t="shared" si="1"/>
        <v>1183</v>
      </c>
      <c r="K172" s="173">
        <f t="shared" si="1"/>
        <v>13435.171829222161</v>
      </c>
      <c r="L172" s="174">
        <f t="shared" si="1"/>
        <v>0</v>
      </c>
      <c r="M172" s="175">
        <f t="shared" si="1"/>
        <v>-177.47224392030387</v>
      </c>
      <c r="N172" s="168">
        <f t="shared" si="1"/>
        <v>161.5696017143352</v>
      </c>
    </row>
    <row r="173" spans="1:14" s="70" customFormat="1" ht="12.75" customHeight="1" thickBot="1" thickTop="1">
      <c r="A173" s="166" t="s">
        <v>256</v>
      </c>
      <c r="B173" s="167" t="s">
        <v>224</v>
      </c>
      <c r="C173" s="241">
        <f t="shared" si="0"/>
        <v>37039.5</v>
      </c>
      <c r="D173" s="169">
        <f t="shared" si="0"/>
        <v>33843.41255811892</v>
      </c>
      <c r="E173" s="170">
        <f t="shared" si="0"/>
        <v>33728.18527730496</v>
      </c>
      <c r="F173" s="171">
        <f t="shared" si="0"/>
        <v>0</v>
      </c>
      <c r="G173" s="172">
        <f t="shared" si="0"/>
        <v>33728.18527730496</v>
      </c>
      <c r="H173" s="172"/>
      <c r="I173" s="172">
        <f t="shared" si="1"/>
        <v>50818.436315646584</v>
      </c>
      <c r="J173" s="172">
        <f t="shared" si="1"/>
        <v>0</v>
      </c>
      <c r="K173" s="173">
        <f t="shared" si="1"/>
        <v>50818.436315646584</v>
      </c>
      <c r="L173" s="174">
        <f t="shared" si="1"/>
        <v>0</v>
      </c>
      <c r="M173" s="175">
        <f t="shared" si="1"/>
        <v>-558.7376752490923</v>
      </c>
      <c r="N173" s="168">
        <f t="shared" si="1"/>
        <v>3754.8251171301654</v>
      </c>
    </row>
    <row r="174" spans="1:14" s="70" customFormat="1" ht="12.75" customHeight="1" thickBot="1" thickTop="1">
      <c r="A174" s="166" t="s">
        <v>256</v>
      </c>
      <c r="B174" s="167" t="s">
        <v>225</v>
      </c>
      <c r="C174" s="241">
        <f t="shared" si="0"/>
        <v>5213.5</v>
      </c>
      <c r="D174" s="169">
        <f t="shared" si="0"/>
        <v>5667.9572938634465</v>
      </c>
      <c r="E174" s="170">
        <f t="shared" si="0"/>
        <v>5569.554901655553</v>
      </c>
      <c r="F174" s="171">
        <f t="shared" si="0"/>
        <v>4</v>
      </c>
      <c r="G174" s="172">
        <f t="shared" si="0"/>
        <v>5573.554901655553</v>
      </c>
      <c r="H174" s="172"/>
      <c r="I174" s="172">
        <f t="shared" si="1"/>
        <v>10158.040348087154</v>
      </c>
      <c r="J174" s="172">
        <f t="shared" si="1"/>
        <v>11.2</v>
      </c>
      <c r="K174" s="173">
        <f t="shared" si="1"/>
        <v>10169.240348087154</v>
      </c>
      <c r="L174" s="174">
        <f t="shared" si="1"/>
        <v>0</v>
      </c>
      <c r="M174" s="175">
        <f t="shared" si="1"/>
        <v>-503.4346414639603</v>
      </c>
      <c r="N174" s="168">
        <f t="shared" si="1"/>
        <v>48.97734760051384</v>
      </c>
    </row>
    <row r="175" spans="1:14" s="70" customFormat="1" ht="12.75" customHeight="1" thickBot="1" thickTop="1">
      <c r="A175" s="166" t="s">
        <v>256</v>
      </c>
      <c r="B175" s="167" t="s">
        <v>226</v>
      </c>
      <c r="C175" s="241">
        <f t="shared" si="0"/>
        <v>195233.5</v>
      </c>
      <c r="D175" s="169">
        <f t="shared" si="0"/>
        <v>187709.01344607526</v>
      </c>
      <c r="E175" s="170">
        <f t="shared" si="0"/>
        <v>187002.80261685842</v>
      </c>
      <c r="F175" s="171">
        <f t="shared" si="0"/>
        <v>1205.5</v>
      </c>
      <c r="G175" s="172">
        <f t="shared" si="0"/>
        <v>188208.30261685842</v>
      </c>
      <c r="H175" s="172"/>
      <c r="I175" s="172">
        <f t="shared" si="1"/>
        <v>296858.4378797687</v>
      </c>
      <c r="J175" s="172">
        <f t="shared" si="1"/>
        <v>4202.45</v>
      </c>
      <c r="K175" s="173">
        <f t="shared" si="1"/>
        <v>301060.8878797687</v>
      </c>
      <c r="L175" s="174">
        <f t="shared" si="1"/>
        <v>0</v>
      </c>
      <c r="M175" s="175">
        <f t="shared" si="1"/>
        <v>-706.2108292168866</v>
      </c>
      <c r="N175" s="168">
        <f t="shared" si="1"/>
        <v>8230.69738314159</v>
      </c>
    </row>
    <row r="176" spans="1:14" s="70" customFormat="1" ht="12.75" customHeight="1" thickBot="1" thickTop="1">
      <c r="A176" s="166" t="s">
        <v>256</v>
      </c>
      <c r="B176" s="167" t="s">
        <v>71</v>
      </c>
      <c r="C176" s="242">
        <f t="shared" si="0"/>
        <v>330177</v>
      </c>
      <c r="D176" s="177">
        <f t="shared" si="0"/>
        <v>318636.85114328266</v>
      </c>
      <c r="E176" s="178">
        <f t="shared" si="0"/>
        <v>317643.44583133026</v>
      </c>
      <c r="F176" s="179">
        <f t="shared" si="0"/>
        <v>1547.5</v>
      </c>
      <c r="G176" s="180">
        <f t="shared" si="0"/>
        <v>319190.94583133026</v>
      </c>
      <c r="H176" s="180"/>
      <c r="I176" s="180">
        <f t="shared" si="1"/>
        <v>501314.1337187179</v>
      </c>
      <c r="J176" s="180">
        <f t="shared" si="1"/>
        <v>5396.65</v>
      </c>
      <c r="K176" s="181">
        <f t="shared" si="1"/>
        <v>506710.7837187178</v>
      </c>
      <c r="L176" s="182">
        <f t="shared" si="1"/>
        <v>12382584</v>
      </c>
      <c r="M176" s="183">
        <f t="shared" si="1"/>
        <v>-3632.4303055632163</v>
      </c>
      <c r="N176" s="176">
        <f t="shared" si="1"/>
        <v>15172.579162280594</v>
      </c>
    </row>
    <row r="177" spans="5:14" ht="12.75" customHeight="1" thickTop="1">
      <c r="E177" s="76"/>
      <c r="I177" s="184"/>
      <c r="J177" s="70"/>
      <c r="K177" s="70"/>
      <c r="L177" s="70"/>
      <c r="M177" s="70"/>
      <c r="N177" s="70"/>
    </row>
    <row r="178" spans="2:14" ht="12.75" customHeight="1">
      <c r="B178" s="70"/>
      <c r="C178" s="233"/>
      <c r="D178" s="70"/>
      <c r="E178" s="76"/>
      <c r="G178" s="76"/>
      <c r="J178" s="70"/>
      <c r="K178" s="70"/>
      <c r="L178" s="70"/>
      <c r="M178" s="70"/>
      <c r="N178" s="70"/>
    </row>
    <row r="179" spans="1:14" ht="30" customHeight="1">
      <c r="A179" s="185" t="s">
        <v>257</v>
      </c>
      <c r="B179" s="70"/>
      <c r="C179" s="233"/>
      <c r="D179" s="70"/>
      <c r="E179" s="76"/>
      <c r="F179" s="70"/>
      <c r="G179" s="70"/>
      <c r="H179" s="70"/>
      <c r="I179" s="184"/>
      <c r="J179" s="70"/>
      <c r="K179" s="70"/>
      <c r="L179" s="70"/>
      <c r="M179" s="70"/>
      <c r="N179" s="70"/>
    </row>
    <row r="180" spans="5:10" ht="12.75" customHeight="1">
      <c r="E180" s="76"/>
      <c r="F180" s="70"/>
      <c r="G180" s="70"/>
      <c r="H180" s="70"/>
      <c r="I180" s="184"/>
      <c r="J180" s="70"/>
    </row>
    <row r="181" spans="6:14" ht="12.75" customHeight="1">
      <c r="F181" s="70"/>
      <c r="G181" s="70"/>
      <c r="H181" s="70"/>
      <c r="I181" s="184"/>
      <c r="J181" s="70"/>
      <c r="K181" s="71"/>
      <c r="L181" s="92"/>
      <c r="M181" s="71"/>
      <c r="N181" s="70"/>
    </row>
    <row r="182" spans="1:14" ht="12.75" customHeight="1">
      <c r="A182" s="186" t="s">
        <v>258</v>
      </c>
      <c r="B182" s="187"/>
      <c r="C182" s="243"/>
      <c r="D182" s="188"/>
      <c r="E182" s="189">
        <f>C176+E183</f>
        <v>331724.5</v>
      </c>
      <c r="F182" s="70"/>
      <c r="G182" s="70"/>
      <c r="H182" s="70"/>
      <c r="I182" s="184"/>
      <c r="K182" s="190" t="s">
        <v>259</v>
      </c>
      <c r="L182" s="191"/>
      <c r="M182" s="192"/>
      <c r="N182" s="193">
        <f>K176</f>
        <v>506710.7837187178</v>
      </c>
    </row>
    <row r="183" spans="1:14" ht="12.75" customHeight="1">
      <c r="A183" s="186" t="s">
        <v>260</v>
      </c>
      <c r="B183" s="187"/>
      <c r="C183" s="243"/>
      <c r="D183" s="188"/>
      <c r="E183" s="194">
        <f>L221</f>
        <v>1547.5</v>
      </c>
      <c r="F183" s="70"/>
      <c r="G183" s="70"/>
      <c r="H183" s="70"/>
      <c r="I183" s="184"/>
      <c r="K183" s="190" t="s">
        <v>9</v>
      </c>
      <c r="L183" s="195"/>
      <c r="M183" s="196"/>
      <c r="N183" s="197">
        <f>N184/N182*1000</f>
        <v>24437.1827043526</v>
      </c>
    </row>
    <row r="184" spans="1:14" ht="12.75" customHeight="1">
      <c r="A184" s="186" t="s">
        <v>261</v>
      </c>
      <c r="B184" s="187"/>
      <c r="C184" s="243"/>
      <c r="D184" s="188"/>
      <c r="E184" s="189">
        <f>E176+E183</f>
        <v>319190.94583133026</v>
      </c>
      <c r="F184" s="70"/>
      <c r="G184" s="70"/>
      <c r="H184" s="70"/>
      <c r="I184" s="184"/>
      <c r="K184" s="112" t="s">
        <v>308</v>
      </c>
      <c r="L184" s="195"/>
      <c r="M184" s="196"/>
      <c r="N184" s="197">
        <f>L176</f>
        <v>12382584</v>
      </c>
    </row>
    <row r="185" spans="1:14" ht="12.75" customHeight="1">
      <c r="A185" s="198" t="s">
        <v>262</v>
      </c>
      <c r="B185" s="187"/>
      <c r="C185" s="243"/>
      <c r="D185" s="188"/>
      <c r="E185" s="199">
        <f>E184/315637-1</f>
        <v>0.011259598308595908</v>
      </c>
      <c r="F185" s="70"/>
      <c r="G185" s="70"/>
      <c r="H185" s="70"/>
      <c r="I185" s="184"/>
      <c r="K185" s="21"/>
      <c r="L185" s="21"/>
      <c r="M185" s="21"/>
      <c r="N185" s="200"/>
    </row>
    <row r="186" spans="1:14" ht="12.75" customHeight="1">
      <c r="A186" s="186" t="s">
        <v>263</v>
      </c>
      <c r="B186" s="187"/>
      <c r="C186" s="243"/>
      <c r="D186" s="188"/>
      <c r="E186" s="189">
        <f>K176</f>
        <v>506710.7837187178</v>
      </c>
      <c r="F186" s="70"/>
      <c r="G186" s="70"/>
      <c r="H186" s="70"/>
      <c r="I186" s="184"/>
      <c r="K186" s="112" t="s">
        <v>264</v>
      </c>
      <c r="L186" s="195"/>
      <c r="M186" s="196"/>
      <c r="N186" s="201">
        <f>'Tab.1_Bilance'!L16</f>
        <v>12382584</v>
      </c>
    </row>
    <row r="187" spans="1:10" ht="12.75" customHeight="1">
      <c r="A187" s="186" t="s">
        <v>265</v>
      </c>
      <c r="B187" s="187"/>
      <c r="C187" s="243"/>
      <c r="D187" s="188"/>
      <c r="E187" s="202">
        <f>E186/E184</f>
        <v>1.5874848279264113</v>
      </c>
      <c r="F187" s="70"/>
      <c r="G187" s="184"/>
      <c r="H187" s="70"/>
      <c r="I187" s="184"/>
      <c r="J187" s="203"/>
    </row>
    <row r="188" spans="1:14" ht="12.75" customHeight="1">
      <c r="A188" s="186" t="s">
        <v>266</v>
      </c>
      <c r="B188" s="187"/>
      <c r="C188" s="243"/>
      <c r="D188" s="188"/>
      <c r="E188" s="189">
        <f>'Tab.1_Bilance'!L19</f>
        <v>15478230</v>
      </c>
      <c r="F188" s="70"/>
      <c r="G188" s="70"/>
      <c r="H188" s="70"/>
      <c r="I188" s="184"/>
      <c r="J188" s="204"/>
      <c r="K188" s="203"/>
      <c r="M188" s="70"/>
      <c r="N188" s="70"/>
    </row>
    <row r="189" spans="1:14" ht="12.75" customHeight="1">
      <c r="A189" s="186" t="s">
        <v>267</v>
      </c>
      <c r="B189" s="187"/>
      <c r="C189" s="243"/>
      <c r="D189" s="188"/>
      <c r="E189" s="205">
        <f>E188*1000/E186</f>
        <v>30546.478380440745</v>
      </c>
      <c r="F189" s="70"/>
      <c r="G189" s="70"/>
      <c r="H189" s="70"/>
      <c r="I189" s="184"/>
      <c r="J189" s="70"/>
      <c r="K189" s="70"/>
      <c r="L189" s="70"/>
      <c r="M189" s="70"/>
      <c r="N189" s="70"/>
    </row>
    <row r="190" spans="5:14" ht="12.75" customHeight="1">
      <c r="E190" s="76">
        <f>E186*E189/1000</f>
        <v>15478230</v>
      </c>
      <c r="F190" s="70"/>
      <c r="G190" s="70"/>
      <c r="H190" s="70"/>
      <c r="I190" s="184"/>
      <c r="J190" s="70"/>
      <c r="K190" s="70"/>
      <c r="L190" s="70"/>
      <c r="M190" s="70"/>
      <c r="N190" s="70"/>
    </row>
    <row r="191" spans="10:14" ht="12.75" customHeight="1">
      <c r="J191" s="70"/>
      <c r="K191" s="70"/>
      <c r="L191" s="70"/>
      <c r="M191" s="70"/>
      <c r="N191" s="70"/>
    </row>
    <row r="192" spans="1:14" ht="12.75" customHeight="1">
      <c r="A192" s="206" t="s">
        <v>268</v>
      </c>
      <c r="C192" s="244"/>
      <c r="G192" s="76"/>
      <c r="H192" s="76"/>
      <c r="J192" s="76"/>
      <c r="K192" s="76"/>
      <c r="L192" s="207"/>
      <c r="M192" s="207"/>
      <c r="N192" s="207"/>
    </row>
    <row r="193" spans="3:14" ht="12.75" customHeight="1">
      <c r="C193" s="244"/>
      <c r="G193" s="76"/>
      <c r="H193" s="76"/>
      <c r="J193" s="76"/>
      <c r="K193" s="76"/>
      <c r="L193" s="208"/>
      <c r="M193" s="207"/>
      <c r="N193" s="208"/>
    </row>
    <row r="194" spans="1:14" ht="12.75" customHeight="1">
      <c r="A194" s="209" t="s">
        <v>175</v>
      </c>
      <c r="B194" s="209" t="s">
        <v>176</v>
      </c>
      <c r="C194" s="245" t="s">
        <v>269</v>
      </c>
      <c r="D194" s="209" t="s">
        <v>270</v>
      </c>
      <c r="E194" s="209" t="s">
        <v>208</v>
      </c>
      <c r="F194" s="209"/>
      <c r="G194" s="210" t="s">
        <v>271</v>
      </c>
      <c r="H194" s="210" t="s">
        <v>272</v>
      </c>
      <c r="I194" s="210" t="s">
        <v>273</v>
      </c>
      <c r="J194" s="210" t="s">
        <v>274</v>
      </c>
      <c r="K194" s="210" t="s">
        <v>71</v>
      </c>
      <c r="L194" s="211" t="s">
        <v>275</v>
      </c>
      <c r="M194" s="211"/>
      <c r="N194" s="211" t="s">
        <v>276</v>
      </c>
    </row>
    <row r="195" spans="1:14" ht="12.75" customHeight="1">
      <c r="A195" s="212"/>
      <c r="B195" s="212"/>
      <c r="C195" s="246"/>
      <c r="D195" s="212"/>
      <c r="E195" s="212"/>
      <c r="F195" s="212"/>
      <c r="G195" s="213"/>
      <c r="H195" s="213"/>
      <c r="I195" s="213"/>
      <c r="J195" s="213"/>
      <c r="K195" s="213"/>
      <c r="L195" s="214"/>
      <c r="M195" s="214"/>
      <c r="N195" s="214"/>
    </row>
    <row r="196" spans="1:14" ht="12.75" customHeight="1">
      <c r="A196" s="215">
        <v>11000</v>
      </c>
      <c r="B196" s="215" t="s">
        <v>277</v>
      </c>
      <c r="C196" s="247">
        <v>11110</v>
      </c>
      <c r="D196" s="215" t="s">
        <v>278</v>
      </c>
      <c r="E196" s="215" t="s">
        <v>200</v>
      </c>
      <c r="F196" s="215"/>
      <c r="G196" s="215">
        <v>40</v>
      </c>
      <c r="H196" s="215">
        <v>0</v>
      </c>
      <c r="I196" s="216">
        <v>37</v>
      </c>
      <c r="J196" s="215">
        <v>0</v>
      </c>
      <c r="K196" s="215">
        <v>77</v>
      </c>
      <c r="L196" s="217">
        <v>77</v>
      </c>
      <c r="M196" s="217"/>
      <c r="N196" s="217">
        <v>269.5</v>
      </c>
    </row>
    <row r="197" spans="1:14" ht="12.75" customHeight="1">
      <c r="A197" s="215">
        <v>11000</v>
      </c>
      <c r="B197" s="215" t="s">
        <v>277</v>
      </c>
      <c r="C197" s="247">
        <v>11110</v>
      </c>
      <c r="D197" s="215" t="s">
        <v>278</v>
      </c>
      <c r="E197" s="215" t="s">
        <v>206</v>
      </c>
      <c r="F197" s="215"/>
      <c r="G197" s="215">
        <v>0</v>
      </c>
      <c r="H197" s="215">
        <v>6</v>
      </c>
      <c r="I197" s="216">
        <v>266</v>
      </c>
      <c r="J197" s="215">
        <v>3</v>
      </c>
      <c r="K197" s="215">
        <v>275</v>
      </c>
      <c r="L197" s="217">
        <v>267.5</v>
      </c>
      <c r="M197" s="217"/>
      <c r="N197" s="217">
        <v>936.25</v>
      </c>
    </row>
    <row r="198" spans="1:14" ht="12.75" customHeight="1">
      <c r="A198" s="215">
        <v>11000</v>
      </c>
      <c r="B198" s="215" t="s">
        <v>277</v>
      </c>
      <c r="C198" s="247">
        <v>11140</v>
      </c>
      <c r="D198" s="215" t="s">
        <v>279</v>
      </c>
      <c r="E198" s="215" t="s">
        <v>200</v>
      </c>
      <c r="F198" s="215"/>
      <c r="G198" s="215">
        <v>26</v>
      </c>
      <c r="H198" s="215">
        <v>1</v>
      </c>
      <c r="I198" s="216">
        <v>30</v>
      </c>
      <c r="J198" s="215">
        <v>0</v>
      </c>
      <c r="K198" s="215">
        <v>57</v>
      </c>
      <c r="L198" s="217">
        <v>56</v>
      </c>
      <c r="M198" s="217"/>
      <c r="N198" s="217">
        <v>196</v>
      </c>
    </row>
    <row r="199" spans="1:14" ht="12.75" customHeight="1">
      <c r="A199" s="215">
        <v>11000</v>
      </c>
      <c r="B199" s="215" t="s">
        <v>277</v>
      </c>
      <c r="C199" s="247">
        <v>11140</v>
      </c>
      <c r="D199" s="215" t="s">
        <v>279</v>
      </c>
      <c r="E199" s="215" t="s">
        <v>206</v>
      </c>
      <c r="F199" s="215"/>
      <c r="G199" s="215">
        <v>0</v>
      </c>
      <c r="H199" s="215">
        <v>10</v>
      </c>
      <c r="I199" s="216">
        <v>181</v>
      </c>
      <c r="J199" s="215">
        <v>1</v>
      </c>
      <c r="K199" s="215">
        <v>192</v>
      </c>
      <c r="L199" s="217">
        <v>181.5</v>
      </c>
      <c r="M199" s="217"/>
      <c r="N199" s="217">
        <v>633.85</v>
      </c>
    </row>
    <row r="200" spans="1:14" ht="12.75" customHeight="1">
      <c r="A200" s="215">
        <v>11000</v>
      </c>
      <c r="B200" s="215" t="s">
        <v>277</v>
      </c>
      <c r="C200" s="247">
        <v>11150</v>
      </c>
      <c r="D200" s="215" t="s">
        <v>280</v>
      </c>
      <c r="E200" s="215" t="s">
        <v>200</v>
      </c>
      <c r="F200" s="215"/>
      <c r="G200" s="215">
        <v>44</v>
      </c>
      <c r="H200" s="215">
        <v>0</v>
      </c>
      <c r="I200" s="216">
        <v>9</v>
      </c>
      <c r="J200" s="215">
        <v>0</v>
      </c>
      <c r="K200" s="215">
        <v>53</v>
      </c>
      <c r="L200" s="217">
        <v>53</v>
      </c>
      <c r="M200" s="217"/>
      <c r="N200" s="217">
        <v>185.5</v>
      </c>
    </row>
    <row r="201" spans="1:14" ht="12.75" customHeight="1">
      <c r="A201" s="215">
        <v>11000</v>
      </c>
      <c r="B201" s="215" t="s">
        <v>277</v>
      </c>
      <c r="C201" s="247">
        <v>11150</v>
      </c>
      <c r="D201" s="215" t="s">
        <v>280</v>
      </c>
      <c r="E201" s="215"/>
      <c r="F201" s="215" t="s">
        <v>348</v>
      </c>
      <c r="G201" s="215">
        <v>-18</v>
      </c>
      <c r="H201" s="215"/>
      <c r="I201" s="216"/>
      <c r="J201" s="215"/>
      <c r="K201" s="215">
        <v>-18</v>
      </c>
      <c r="L201" s="217">
        <v>-18</v>
      </c>
      <c r="M201" s="217"/>
      <c r="N201" s="217">
        <f>-18*3.5</f>
        <v>-63</v>
      </c>
    </row>
    <row r="202" spans="1:14" ht="12.75" customHeight="1">
      <c r="A202" s="215">
        <v>11000</v>
      </c>
      <c r="B202" s="215" t="s">
        <v>277</v>
      </c>
      <c r="C202" s="247">
        <v>11150</v>
      </c>
      <c r="D202" s="215" t="s">
        <v>280</v>
      </c>
      <c r="E202" s="215"/>
      <c r="F202" s="215" t="s">
        <v>349</v>
      </c>
      <c r="G202" s="215">
        <f>SUM(G200:G201)</f>
        <v>26</v>
      </c>
      <c r="H202" s="215">
        <f>SUM(H200:H201)</f>
        <v>0</v>
      </c>
      <c r="I202" s="216">
        <f>SUM(I200:I201)</f>
        <v>9</v>
      </c>
      <c r="J202" s="215">
        <f>SUM(J200:J201)</f>
        <v>0</v>
      </c>
      <c r="K202" s="215">
        <f>SUM(G202:J202)</f>
        <v>35</v>
      </c>
      <c r="L202" s="217">
        <f>SUM(L200:L201)</f>
        <v>35</v>
      </c>
      <c r="M202" s="217"/>
      <c r="N202" s="217">
        <f>L202*3.5</f>
        <v>122.5</v>
      </c>
    </row>
    <row r="203" spans="1:14" ht="12.75" customHeight="1">
      <c r="A203" s="215">
        <v>11000</v>
      </c>
      <c r="B203" s="215" t="s">
        <v>277</v>
      </c>
      <c r="C203" s="247">
        <v>11150</v>
      </c>
      <c r="D203" s="215" t="s">
        <v>280</v>
      </c>
      <c r="E203" s="215" t="s">
        <v>204</v>
      </c>
      <c r="F203" s="215"/>
      <c r="G203" s="215">
        <v>0</v>
      </c>
      <c r="H203" s="215">
        <v>0</v>
      </c>
      <c r="I203" s="216">
        <v>2</v>
      </c>
      <c r="J203" s="215">
        <v>0</v>
      </c>
      <c r="K203" s="215">
        <v>2</v>
      </c>
      <c r="L203" s="217">
        <v>2</v>
      </c>
      <c r="M203" s="217"/>
      <c r="N203" s="217">
        <v>5.6</v>
      </c>
    </row>
    <row r="204" spans="1:14" ht="12.75" customHeight="1">
      <c r="A204" s="215">
        <v>11000</v>
      </c>
      <c r="B204" s="215" t="s">
        <v>277</v>
      </c>
      <c r="C204" s="247">
        <v>11150</v>
      </c>
      <c r="D204" s="215" t="s">
        <v>280</v>
      </c>
      <c r="E204" s="215" t="s">
        <v>206</v>
      </c>
      <c r="F204" s="215"/>
      <c r="G204" s="215">
        <v>0</v>
      </c>
      <c r="H204" s="215">
        <v>4</v>
      </c>
      <c r="I204" s="216">
        <v>146</v>
      </c>
      <c r="J204" s="215">
        <v>0</v>
      </c>
      <c r="K204" s="215">
        <v>150</v>
      </c>
      <c r="L204" s="217">
        <v>146</v>
      </c>
      <c r="M204" s="217"/>
      <c r="N204" s="217">
        <v>506.8</v>
      </c>
    </row>
    <row r="205" spans="1:14" ht="12.75" customHeight="1">
      <c r="A205" s="218">
        <v>11000</v>
      </c>
      <c r="B205" s="218" t="s">
        <v>277</v>
      </c>
      <c r="C205" s="248"/>
      <c r="D205" s="218"/>
      <c r="E205" s="218" t="s">
        <v>200</v>
      </c>
      <c r="F205" s="218"/>
      <c r="G205" s="218">
        <f>G196+G198+G202</f>
        <v>92</v>
      </c>
      <c r="H205" s="218">
        <f aca="true" t="shared" si="2" ref="H205:N205">H196+H198+H202</f>
        <v>1</v>
      </c>
      <c r="I205" s="219">
        <f t="shared" si="2"/>
        <v>76</v>
      </c>
      <c r="J205" s="218">
        <f t="shared" si="2"/>
        <v>0</v>
      </c>
      <c r="K205" s="218">
        <f t="shared" si="2"/>
        <v>169</v>
      </c>
      <c r="L205" s="220">
        <f t="shared" si="2"/>
        <v>168</v>
      </c>
      <c r="M205" s="220">
        <f t="shared" si="2"/>
        <v>0</v>
      </c>
      <c r="N205" s="220">
        <f t="shared" si="2"/>
        <v>588</v>
      </c>
    </row>
    <row r="206" spans="1:14" ht="12.75" customHeight="1">
      <c r="A206" s="218">
        <v>11000</v>
      </c>
      <c r="B206" s="218" t="s">
        <v>277</v>
      </c>
      <c r="C206" s="248"/>
      <c r="D206" s="218"/>
      <c r="E206" s="218" t="s">
        <v>204</v>
      </c>
      <c r="F206" s="218"/>
      <c r="G206" s="218">
        <v>0</v>
      </c>
      <c r="H206" s="218">
        <v>0</v>
      </c>
      <c r="I206" s="219">
        <v>2</v>
      </c>
      <c r="J206" s="218">
        <v>0</v>
      </c>
      <c r="K206" s="218">
        <v>2</v>
      </c>
      <c r="L206" s="220">
        <v>2</v>
      </c>
      <c r="M206" s="220"/>
      <c r="N206" s="220">
        <v>5.6</v>
      </c>
    </row>
    <row r="207" spans="1:14" ht="12.75" customHeight="1">
      <c r="A207" s="218">
        <v>11000</v>
      </c>
      <c r="B207" s="218" t="s">
        <v>277</v>
      </c>
      <c r="C207" s="248"/>
      <c r="D207" s="218"/>
      <c r="E207" s="218" t="s">
        <v>206</v>
      </c>
      <c r="F207" s="218"/>
      <c r="G207" s="218">
        <v>0</v>
      </c>
      <c r="H207" s="218">
        <v>20</v>
      </c>
      <c r="I207" s="219">
        <v>593</v>
      </c>
      <c r="J207" s="218">
        <v>4</v>
      </c>
      <c r="K207" s="218">
        <v>617</v>
      </c>
      <c r="L207" s="220">
        <v>595</v>
      </c>
      <c r="M207" s="220"/>
      <c r="N207" s="220">
        <v>2076.9</v>
      </c>
    </row>
    <row r="208" spans="1:14" ht="12.75" customHeight="1">
      <c r="A208" s="221">
        <v>11000</v>
      </c>
      <c r="B208" s="221" t="s">
        <v>277</v>
      </c>
      <c r="C208" s="249"/>
      <c r="D208" s="221"/>
      <c r="E208" s="221"/>
      <c r="F208" s="221"/>
      <c r="G208" s="221">
        <v>110</v>
      </c>
      <c r="H208" s="221">
        <v>21</v>
      </c>
      <c r="I208" s="222">
        <v>671</v>
      </c>
      <c r="J208" s="221">
        <v>4</v>
      </c>
      <c r="K208" s="221">
        <f>SUM(K205:K207)</f>
        <v>788</v>
      </c>
      <c r="L208" s="223">
        <f>SUM(L205:L207)</f>
        <v>765</v>
      </c>
      <c r="M208" s="223"/>
      <c r="N208" s="223">
        <f>SUM(N205:N207)</f>
        <v>2670.5</v>
      </c>
    </row>
    <row r="209" spans="1:14" ht="12.75" customHeight="1">
      <c r="A209" s="215">
        <v>14000</v>
      </c>
      <c r="B209" s="215" t="s">
        <v>83</v>
      </c>
      <c r="C209" s="247">
        <v>14110</v>
      </c>
      <c r="D209" s="215" t="s">
        <v>281</v>
      </c>
      <c r="E209" s="215" t="s">
        <v>200</v>
      </c>
      <c r="F209" s="215"/>
      <c r="G209" s="215">
        <v>51</v>
      </c>
      <c r="H209" s="215">
        <v>2</v>
      </c>
      <c r="I209" s="216">
        <v>29</v>
      </c>
      <c r="J209" s="215">
        <v>0</v>
      </c>
      <c r="K209" s="215">
        <v>82</v>
      </c>
      <c r="L209" s="217">
        <v>80</v>
      </c>
      <c r="M209" s="217"/>
      <c r="N209" s="217">
        <v>280</v>
      </c>
    </row>
    <row r="210" spans="1:14" ht="12.75" customHeight="1">
      <c r="A210" s="215">
        <v>14000</v>
      </c>
      <c r="B210" s="215" t="s">
        <v>83</v>
      </c>
      <c r="C210" s="247">
        <v>14110</v>
      </c>
      <c r="D210" s="215" t="s">
        <v>281</v>
      </c>
      <c r="E210" s="215" t="s">
        <v>204</v>
      </c>
      <c r="F210" s="215"/>
      <c r="G210" s="215">
        <v>0</v>
      </c>
      <c r="H210" s="215">
        <v>0</v>
      </c>
      <c r="I210" s="216">
        <v>2</v>
      </c>
      <c r="J210" s="215">
        <v>0</v>
      </c>
      <c r="K210" s="215">
        <v>2</v>
      </c>
      <c r="L210" s="217">
        <v>2</v>
      </c>
      <c r="M210" s="217"/>
      <c r="N210" s="217">
        <v>5.6</v>
      </c>
    </row>
    <row r="211" spans="1:14" ht="12.75" customHeight="1">
      <c r="A211" s="215">
        <v>14000</v>
      </c>
      <c r="B211" s="215" t="s">
        <v>83</v>
      </c>
      <c r="C211" s="247">
        <v>14110</v>
      </c>
      <c r="D211" s="215" t="s">
        <v>281</v>
      </c>
      <c r="E211" s="215" t="s">
        <v>206</v>
      </c>
      <c r="F211" s="215"/>
      <c r="G211" s="215">
        <v>0</v>
      </c>
      <c r="H211" s="215">
        <v>12</v>
      </c>
      <c r="I211" s="216">
        <v>288</v>
      </c>
      <c r="J211" s="215">
        <v>3</v>
      </c>
      <c r="K211" s="215">
        <v>303</v>
      </c>
      <c r="L211" s="217">
        <v>289.5</v>
      </c>
      <c r="M211" s="217"/>
      <c r="N211" s="217">
        <v>1002.05</v>
      </c>
    </row>
    <row r="212" spans="1:14" ht="12.75" customHeight="1">
      <c r="A212" s="218">
        <v>14000</v>
      </c>
      <c r="B212" s="218" t="s">
        <v>83</v>
      </c>
      <c r="C212" s="248"/>
      <c r="D212" s="218"/>
      <c r="E212" s="218" t="s">
        <v>200</v>
      </c>
      <c r="F212" s="218"/>
      <c r="G212" s="218">
        <v>51</v>
      </c>
      <c r="H212" s="218">
        <v>2</v>
      </c>
      <c r="I212" s="219">
        <v>29</v>
      </c>
      <c r="J212" s="218">
        <v>0</v>
      </c>
      <c r="K212" s="218">
        <v>82</v>
      </c>
      <c r="L212" s="220">
        <v>80</v>
      </c>
      <c r="M212" s="220"/>
      <c r="N212" s="220">
        <v>280</v>
      </c>
    </row>
    <row r="213" spans="1:14" ht="12.75" customHeight="1">
      <c r="A213" s="218">
        <v>14000</v>
      </c>
      <c r="B213" s="218" t="s">
        <v>83</v>
      </c>
      <c r="C213" s="248"/>
      <c r="D213" s="218"/>
      <c r="E213" s="218" t="s">
        <v>204</v>
      </c>
      <c r="F213" s="218"/>
      <c r="G213" s="218">
        <v>0</v>
      </c>
      <c r="H213" s="218">
        <v>0</v>
      </c>
      <c r="I213" s="219">
        <v>2</v>
      </c>
      <c r="J213" s="218">
        <v>0</v>
      </c>
      <c r="K213" s="218">
        <v>2</v>
      </c>
      <c r="L213" s="220">
        <v>2</v>
      </c>
      <c r="M213" s="220"/>
      <c r="N213" s="220">
        <v>5.6</v>
      </c>
    </row>
    <row r="214" spans="1:14" ht="12.75" customHeight="1">
      <c r="A214" s="218">
        <v>14000</v>
      </c>
      <c r="B214" s="218" t="s">
        <v>83</v>
      </c>
      <c r="C214" s="248"/>
      <c r="D214" s="218"/>
      <c r="E214" s="218" t="s">
        <v>206</v>
      </c>
      <c r="F214" s="218"/>
      <c r="G214" s="218">
        <v>0</v>
      </c>
      <c r="H214" s="218">
        <v>12</v>
      </c>
      <c r="I214" s="219">
        <v>288</v>
      </c>
      <c r="J214" s="218">
        <v>3</v>
      </c>
      <c r="K214" s="218">
        <v>303</v>
      </c>
      <c r="L214" s="220">
        <v>289.5</v>
      </c>
      <c r="M214" s="220"/>
      <c r="N214" s="220">
        <v>1002.05</v>
      </c>
    </row>
    <row r="215" spans="1:14" ht="12.75" customHeight="1">
      <c r="A215" s="221">
        <v>14000</v>
      </c>
      <c r="B215" s="221" t="s">
        <v>83</v>
      </c>
      <c r="C215" s="249"/>
      <c r="D215" s="221"/>
      <c r="E215" s="221"/>
      <c r="F215" s="221"/>
      <c r="G215" s="221">
        <v>51</v>
      </c>
      <c r="H215" s="221">
        <v>14</v>
      </c>
      <c r="I215" s="222">
        <v>319</v>
      </c>
      <c r="J215" s="221">
        <v>3</v>
      </c>
      <c r="K215" s="221">
        <f>SUM(K212:K214)</f>
        <v>387</v>
      </c>
      <c r="L215" s="223">
        <f>SUM(L212:L214)</f>
        <v>371.5</v>
      </c>
      <c r="M215" s="223"/>
      <c r="N215" s="223">
        <f>SUM(N212:N214)</f>
        <v>1287.65</v>
      </c>
    </row>
    <row r="216" spans="1:14" ht="12.75" customHeight="1">
      <c r="A216" s="215">
        <v>15000</v>
      </c>
      <c r="B216" s="215" t="s">
        <v>282</v>
      </c>
      <c r="C216" s="247">
        <v>15110</v>
      </c>
      <c r="D216" s="215" t="s">
        <v>281</v>
      </c>
      <c r="E216" s="215" t="s">
        <v>200</v>
      </c>
      <c r="F216" s="215"/>
      <c r="G216" s="215">
        <v>49</v>
      </c>
      <c r="H216" s="215">
        <v>1</v>
      </c>
      <c r="I216" s="216">
        <v>41</v>
      </c>
      <c r="J216" s="215">
        <v>0</v>
      </c>
      <c r="K216" s="215">
        <v>91</v>
      </c>
      <c r="L216" s="217">
        <v>90</v>
      </c>
      <c r="M216" s="217"/>
      <c r="N216" s="217">
        <v>315</v>
      </c>
    </row>
    <row r="217" spans="1:14" ht="12.75" customHeight="1">
      <c r="A217" s="215">
        <v>15000</v>
      </c>
      <c r="B217" s="215" t="s">
        <v>282</v>
      </c>
      <c r="C217" s="247">
        <v>15110</v>
      </c>
      <c r="D217" s="215" t="s">
        <v>281</v>
      </c>
      <c r="E217" s="215" t="s">
        <v>206</v>
      </c>
      <c r="F217" s="215"/>
      <c r="G217" s="215">
        <v>0</v>
      </c>
      <c r="H217" s="215">
        <v>7</v>
      </c>
      <c r="I217" s="216">
        <v>321</v>
      </c>
      <c r="J217" s="215">
        <v>0</v>
      </c>
      <c r="K217" s="215">
        <v>328</v>
      </c>
      <c r="L217" s="217">
        <v>321</v>
      </c>
      <c r="M217" s="217"/>
      <c r="N217" s="217">
        <v>1123.5</v>
      </c>
    </row>
    <row r="218" spans="1:14" ht="12.75" customHeight="1">
      <c r="A218" s="218">
        <v>15000</v>
      </c>
      <c r="B218" s="218" t="s">
        <v>282</v>
      </c>
      <c r="C218" s="248"/>
      <c r="D218" s="218"/>
      <c r="E218" s="218" t="s">
        <v>200</v>
      </c>
      <c r="F218" s="218"/>
      <c r="G218" s="218">
        <v>49</v>
      </c>
      <c r="H218" s="218">
        <v>1</v>
      </c>
      <c r="I218" s="219">
        <v>41</v>
      </c>
      <c r="J218" s="218">
        <v>0</v>
      </c>
      <c r="K218" s="218">
        <v>91</v>
      </c>
      <c r="L218" s="220">
        <v>90</v>
      </c>
      <c r="M218" s="220"/>
      <c r="N218" s="220">
        <v>315</v>
      </c>
    </row>
    <row r="219" spans="1:14" ht="12.75" customHeight="1">
      <c r="A219" s="218">
        <v>15000</v>
      </c>
      <c r="B219" s="218" t="s">
        <v>282</v>
      </c>
      <c r="C219" s="248"/>
      <c r="D219" s="218"/>
      <c r="E219" s="218" t="s">
        <v>206</v>
      </c>
      <c r="F219" s="218"/>
      <c r="G219" s="218">
        <v>0</v>
      </c>
      <c r="H219" s="218">
        <v>7</v>
      </c>
      <c r="I219" s="219">
        <v>321</v>
      </c>
      <c r="J219" s="218">
        <v>0</v>
      </c>
      <c r="K219" s="218">
        <v>328</v>
      </c>
      <c r="L219" s="220">
        <v>321</v>
      </c>
      <c r="M219" s="220"/>
      <c r="N219" s="220">
        <v>1123.5</v>
      </c>
    </row>
    <row r="220" spans="1:14" ht="12.75" customHeight="1" thickBot="1">
      <c r="A220" s="224">
        <v>15000</v>
      </c>
      <c r="B220" s="224" t="s">
        <v>282</v>
      </c>
      <c r="C220" s="250"/>
      <c r="D220" s="224"/>
      <c r="E220" s="224"/>
      <c r="F220" s="224"/>
      <c r="G220" s="224">
        <v>49</v>
      </c>
      <c r="H220" s="224">
        <v>8</v>
      </c>
      <c r="I220" s="225">
        <v>362</v>
      </c>
      <c r="J220" s="224">
        <v>0</v>
      </c>
      <c r="K220" s="224">
        <f>SUM(K218:K219)</f>
        <v>419</v>
      </c>
      <c r="L220" s="226">
        <f>SUM(L218:L219)</f>
        <v>411</v>
      </c>
      <c r="M220" s="226"/>
      <c r="N220" s="226">
        <f>SUM(N218:N219)</f>
        <v>1438.5</v>
      </c>
    </row>
    <row r="221" spans="1:14" ht="12.75" customHeight="1" thickBot="1">
      <c r="A221" s="227"/>
      <c r="B221" s="228"/>
      <c r="C221" s="251"/>
      <c r="D221" s="228"/>
      <c r="E221" s="228" t="s">
        <v>283</v>
      </c>
      <c r="F221" s="228"/>
      <c r="G221" s="228"/>
      <c r="H221" s="228"/>
      <c r="I221" s="229"/>
      <c r="J221" s="228"/>
      <c r="K221" s="228">
        <f>K208+K215+K220</f>
        <v>1594</v>
      </c>
      <c r="L221" s="228">
        <f>L208+L215+L220</f>
        <v>1547.5</v>
      </c>
      <c r="M221" s="228">
        <f>M208+M215+M220</f>
        <v>0</v>
      </c>
      <c r="N221" s="228">
        <f>N208+N215+N220</f>
        <v>5396.65</v>
      </c>
    </row>
    <row r="222" spans="3:9" s="70" customFormat="1" ht="12.75">
      <c r="C222" s="233"/>
      <c r="I222" s="184"/>
    </row>
    <row r="223" spans="3:9" s="70" customFormat="1" ht="12.75">
      <c r="C223" s="233"/>
      <c r="I223" s="184"/>
    </row>
    <row r="224" spans="1:14" ht="12.75">
      <c r="A224" s="70"/>
      <c r="B224" s="70"/>
      <c r="C224" s="233"/>
      <c r="D224" s="70"/>
      <c r="E224" s="70"/>
      <c r="F224" s="70"/>
      <c r="G224" s="70"/>
      <c r="H224" s="70"/>
      <c r="I224" s="184"/>
      <c r="J224" s="230"/>
      <c r="K224" s="231"/>
      <c r="L224" s="230"/>
      <c r="N224" s="75"/>
    </row>
    <row r="225" spans="1:14" ht="12.75">
      <c r="A225" s="70"/>
      <c r="B225" s="70"/>
      <c r="C225" s="233"/>
      <c r="D225" s="70"/>
      <c r="E225" s="70"/>
      <c r="F225" s="70"/>
      <c r="G225" s="70"/>
      <c r="H225" s="70"/>
      <c r="I225" s="184" t="s">
        <v>284</v>
      </c>
      <c r="J225" s="184">
        <f>I203+I204+I209+I210+I213+I214+I215+I216+I219+I220</f>
        <v>1512</v>
      </c>
      <c r="K225" s="184">
        <f>J203+J204+J209+J210+J213+J214+J215+J216+J219+J220</f>
        <v>6</v>
      </c>
      <c r="L225" s="184">
        <f>K203+K204+K209+K210+K213+K214+K215+K216+K219+K220</f>
        <v>1766</v>
      </c>
      <c r="N225" s="75"/>
    </row>
    <row r="226" spans="1:14" ht="12.75">
      <c r="A226" s="70"/>
      <c r="B226" s="70"/>
      <c r="C226" s="233"/>
      <c r="D226" s="70"/>
      <c r="E226" s="70"/>
      <c r="F226" s="70"/>
      <c r="G226" s="70"/>
      <c r="H226" s="70"/>
      <c r="I226" s="184" t="s">
        <v>284</v>
      </c>
      <c r="J226" s="184">
        <f>SUM(I194:I200)+SUM(I205:I208)+SUM(I213:I216)+SUM(I219:I220)</f>
        <v>3198</v>
      </c>
      <c r="K226" s="184">
        <f>SUM(J194:J200)+SUM(J205:J208)+SUM(J213:J216)+SUM(J219:J220)</f>
        <v>18</v>
      </c>
      <c r="L226" s="184">
        <f>SUM(K194:K200)+SUM(K205:K208)+SUM(K213:K216)+SUM(K219:K220)</f>
        <v>3760</v>
      </c>
      <c r="N226" s="75"/>
    </row>
  </sheetData>
  <sheetProtection/>
  <autoFilter ref="A12:N180"/>
  <mergeCells count="2">
    <mergeCell ref="A3:B3"/>
    <mergeCell ref="E4:N5"/>
  </mergeCells>
  <printOptions horizontalCentered="1"/>
  <pageMargins left="0.1968503937007874" right="0.1968503937007874" top="0.3937007874015748" bottom="0.31496062992125984" header="0.03937007874015748" footer="0.03937007874015748"/>
  <pageSetup fitToHeight="4" horizontalDpi="600" verticalDpi="600" orientation="landscape" paperSize="9" scale="62" r:id="rId1"/>
  <rowBreaks count="3" manualBreakCount="3">
    <brk id="56" max="13" man="1"/>
    <brk id="116" max="13" man="1"/>
    <brk id="17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R147"/>
  <sheetViews>
    <sheetView zoomScale="98" zoomScaleNormal="98" zoomScalePageLayoutView="0" workbookViewId="0" topLeftCell="A1">
      <pane xSplit="2" ySplit="6" topLeftCell="C7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C87" sqref="C87"/>
    </sheetView>
  </sheetViews>
  <sheetFormatPr defaultColWidth="7.7109375" defaultRowHeight="15"/>
  <cols>
    <col min="1" max="1" width="5.7109375" style="29" customWidth="1"/>
    <col min="2" max="2" width="11.00390625" style="29" customWidth="1"/>
    <col min="3" max="3" width="8.421875" style="29" customWidth="1"/>
    <col min="4" max="4" width="7.140625" style="29" customWidth="1"/>
    <col min="5" max="5" width="7.57421875" style="29" customWidth="1"/>
    <col min="6" max="6" width="7.421875" style="29" customWidth="1"/>
    <col min="7" max="7" width="9.140625" style="339" customWidth="1"/>
    <col min="8" max="8" width="7.28125" style="339" customWidth="1"/>
    <col min="9" max="9" width="8.8515625" style="339" customWidth="1"/>
    <col min="10" max="10" width="7.421875" style="339" customWidth="1"/>
    <col min="11" max="11" width="2.28125" style="339" customWidth="1"/>
    <col min="12" max="14" width="7.421875" style="339" hidden="1" customWidth="1"/>
    <col min="15" max="15" width="8.140625" style="339" customWidth="1"/>
    <col min="16" max="16" width="8.7109375" style="29" hidden="1" customWidth="1"/>
    <col min="17" max="17" width="8.8515625" style="29" hidden="1" customWidth="1"/>
    <col min="18" max="18" width="8.140625" style="29" hidden="1" customWidth="1"/>
    <col min="19" max="19" width="8.00390625" style="29" hidden="1" customWidth="1"/>
    <col min="20" max="20" width="7.8515625" style="29" hidden="1" customWidth="1"/>
    <col min="21" max="21" width="8.00390625" style="29" hidden="1" customWidth="1"/>
    <col min="22" max="22" width="8.00390625" style="29" customWidth="1"/>
    <col min="23" max="23" width="6.7109375" style="29" customWidth="1"/>
    <col min="24" max="24" width="2.421875" style="343" customWidth="1"/>
    <col min="25" max="30" width="6.7109375" style="29" hidden="1" customWidth="1"/>
    <col min="31" max="31" width="6.7109375" style="29" customWidth="1"/>
    <col min="32" max="32" width="6.28125" style="29" customWidth="1"/>
    <col min="33" max="33" width="7.57421875" style="29" hidden="1" customWidth="1"/>
    <col min="34" max="34" width="6.7109375" style="29" hidden="1" customWidth="1"/>
    <col min="35" max="35" width="7.140625" style="29" hidden="1" customWidth="1"/>
    <col min="36" max="37" width="6.7109375" style="29" hidden="1" customWidth="1"/>
    <col min="38" max="38" width="7.7109375" style="29" hidden="1" customWidth="1"/>
    <col min="39" max="39" width="6.421875" style="29" customWidth="1"/>
    <col min="40" max="40" width="6.7109375" style="29" customWidth="1"/>
    <col min="41" max="41" width="8.57421875" style="29" hidden="1" customWidth="1"/>
    <col min="42" max="42" width="6.7109375" style="29" hidden="1" customWidth="1"/>
    <col min="43" max="43" width="7.8515625" style="29" hidden="1" customWidth="1"/>
    <col min="44" max="44" width="6.7109375" style="29" hidden="1" customWidth="1"/>
    <col min="45" max="46" width="7.57421875" style="29" hidden="1" customWidth="1"/>
    <col min="47" max="47" width="8.421875" style="29" customWidth="1"/>
    <col min="48" max="48" width="7.00390625" style="29" customWidth="1"/>
    <col min="49" max="50" width="8.28125" style="29" hidden="1" customWidth="1"/>
    <col min="51" max="51" width="7.7109375" style="29" hidden="1" customWidth="1"/>
    <col min="52" max="54" width="6.7109375" style="29" hidden="1" customWidth="1"/>
    <col min="55" max="55" width="8.57421875" style="29" customWidth="1"/>
    <col min="56" max="56" width="6.7109375" style="29" customWidth="1"/>
    <col min="57" max="57" width="2.140625" style="336" customWidth="1"/>
    <col min="58" max="58" width="8.28125" style="29" customWidth="1"/>
    <col min="59" max="59" width="8.8515625" style="29" customWidth="1"/>
    <col min="60" max="60" width="3.7109375" style="29" customWidth="1"/>
    <col min="61" max="61" width="9.8515625" style="29" customWidth="1"/>
    <col min="62" max="16384" width="7.7109375" style="29" customWidth="1"/>
  </cols>
  <sheetData>
    <row r="1" ht="19.5">
      <c r="A1" s="354" t="s">
        <v>305</v>
      </c>
    </row>
    <row r="2" spans="1:2" ht="15">
      <c r="A2" s="554" t="s">
        <v>316</v>
      </c>
      <c r="B2" s="554"/>
    </row>
    <row r="3" ht="15.75" thickBot="1"/>
    <row r="4" spans="1:59" s="336" customFormat="1" ht="23.25" customHeight="1">
      <c r="A4" s="944" t="s">
        <v>57</v>
      </c>
      <c r="B4" s="945"/>
      <c r="C4" s="950" t="s">
        <v>301</v>
      </c>
      <c r="D4" s="951"/>
      <c r="E4" s="951"/>
      <c r="F4" s="951"/>
      <c r="G4" s="951"/>
      <c r="H4" s="951"/>
      <c r="I4" s="951"/>
      <c r="J4" s="952"/>
      <c r="K4" s="27"/>
      <c r="L4" s="957" t="s">
        <v>302</v>
      </c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9"/>
      <c r="Y4" s="973" t="s">
        <v>58</v>
      </c>
      <c r="Z4" s="974"/>
      <c r="AA4" s="974"/>
      <c r="AB4" s="974"/>
      <c r="AC4" s="974"/>
      <c r="AD4" s="974"/>
      <c r="AE4" s="974"/>
      <c r="AF4" s="974"/>
      <c r="AG4" s="974"/>
      <c r="AH4" s="974"/>
      <c r="AI4" s="974"/>
      <c r="AJ4" s="974"/>
      <c r="AK4" s="974"/>
      <c r="AL4" s="974"/>
      <c r="AM4" s="974"/>
      <c r="AN4" s="974"/>
      <c r="AO4" s="974"/>
      <c r="AP4" s="974"/>
      <c r="AQ4" s="974"/>
      <c r="AR4" s="974"/>
      <c r="AS4" s="974"/>
      <c r="AT4" s="974"/>
      <c r="AU4" s="974"/>
      <c r="AV4" s="974"/>
      <c r="AW4" s="974"/>
      <c r="AX4" s="974"/>
      <c r="AY4" s="974"/>
      <c r="AZ4" s="974"/>
      <c r="BA4" s="974"/>
      <c r="BB4" s="974"/>
      <c r="BC4" s="974"/>
      <c r="BD4" s="975"/>
      <c r="BF4" s="976" t="s">
        <v>304</v>
      </c>
      <c r="BG4" s="979" t="s">
        <v>303</v>
      </c>
    </row>
    <row r="5" spans="1:59" s="340" customFormat="1" ht="27" customHeight="1">
      <c r="A5" s="946"/>
      <c r="B5" s="947"/>
      <c r="C5" s="953" t="s">
        <v>59</v>
      </c>
      <c r="D5" s="954"/>
      <c r="E5" s="954" t="s">
        <v>60</v>
      </c>
      <c r="F5" s="954"/>
      <c r="G5" s="954" t="s">
        <v>61</v>
      </c>
      <c r="H5" s="954"/>
      <c r="I5" s="954" t="s">
        <v>62</v>
      </c>
      <c r="J5" s="960"/>
      <c r="K5" s="28"/>
      <c r="L5" s="928" t="s">
        <v>63</v>
      </c>
      <c r="M5" s="929"/>
      <c r="N5" s="929"/>
      <c r="O5" s="926" t="s">
        <v>314</v>
      </c>
      <c r="P5" s="962" t="s">
        <v>191</v>
      </c>
      <c r="Q5" s="963"/>
      <c r="R5" s="963"/>
      <c r="S5" s="963"/>
      <c r="T5" s="963"/>
      <c r="U5" s="964"/>
      <c r="V5" s="965" t="s">
        <v>112</v>
      </c>
      <c r="W5" s="966"/>
      <c r="Y5" s="938" t="s">
        <v>64</v>
      </c>
      <c r="Z5" s="939"/>
      <c r="AA5" s="939"/>
      <c r="AB5" s="939"/>
      <c r="AC5" s="939"/>
      <c r="AD5" s="940"/>
      <c r="AE5" s="930" t="s">
        <v>64</v>
      </c>
      <c r="AF5" s="931"/>
      <c r="AG5" s="969" t="s">
        <v>65</v>
      </c>
      <c r="AH5" s="939"/>
      <c r="AI5" s="939"/>
      <c r="AJ5" s="939"/>
      <c r="AK5" s="939"/>
      <c r="AL5" s="940"/>
      <c r="AM5" s="930" t="s">
        <v>65</v>
      </c>
      <c r="AN5" s="931"/>
      <c r="AO5" s="969" t="s">
        <v>66</v>
      </c>
      <c r="AP5" s="939"/>
      <c r="AQ5" s="939"/>
      <c r="AR5" s="939"/>
      <c r="AS5" s="939"/>
      <c r="AT5" s="940"/>
      <c r="AU5" s="930" t="s">
        <v>66</v>
      </c>
      <c r="AV5" s="931"/>
      <c r="AW5" s="969" t="s">
        <v>67</v>
      </c>
      <c r="AX5" s="939"/>
      <c r="AY5" s="939"/>
      <c r="AZ5" s="939"/>
      <c r="BA5" s="939"/>
      <c r="BB5" s="940"/>
      <c r="BC5" s="930" t="s">
        <v>67</v>
      </c>
      <c r="BD5" s="982"/>
      <c r="BF5" s="977"/>
      <c r="BG5" s="980"/>
    </row>
    <row r="6" spans="1:59" s="336" customFormat="1" ht="18" customHeight="1" thickBot="1">
      <c r="A6" s="948"/>
      <c r="B6" s="949"/>
      <c r="C6" s="955"/>
      <c r="D6" s="956"/>
      <c r="E6" s="956"/>
      <c r="F6" s="956"/>
      <c r="G6" s="956"/>
      <c r="H6" s="956"/>
      <c r="I6" s="956"/>
      <c r="J6" s="961"/>
      <c r="K6" s="28"/>
      <c r="L6" s="470" t="s">
        <v>68</v>
      </c>
      <c r="M6" s="471" t="s">
        <v>69</v>
      </c>
      <c r="N6" s="488" t="s">
        <v>70</v>
      </c>
      <c r="O6" s="927"/>
      <c r="P6" s="971" t="s">
        <v>72</v>
      </c>
      <c r="Q6" s="972"/>
      <c r="R6" s="972" t="s">
        <v>73</v>
      </c>
      <c r="S6" s="972"/>
      <c r="T6" s="972" t="s">
        <v>74</v>
      </c>
      <c r="U6" s="967"/>
      <c r="V6" s="967"/>
      <c r="W6" s="968"/>
      <c r="Y6" s="936" t="s">
        <v>75</v>
      </c>
      <c r="Z6" s="937"/>
      <c r="AA6" s="937" t="s">
        <v>76</v>
      </c>
      <c r="AB6" s="937"/>
      <c r="AC6" s="937" t="s">
        <v>77</v>
      </c>
      <c r="AD6" s="943"/>
      <c r="AE6" s="932"/>
      <c r="AF6" s="933"/>
      <c r="AG6" s="970" t="s">
        <v>75</v>
      </c>
      <c r="AH6" s="937"/>
      <c r="AI6" s="937" t="s">
        <v>76</v>
      </c>
      <c r="AJ6" s="937"/>
      <c r="AK6" s="937" t="s">
        <v>77</v>
      </c>
      <c r="AL6" s="943"/>
      <c r="AM6" s="932"/>
      <c r="AN6" s="933"/>
      <c r="AO6" s="970" t="s">
        <v>75</v>
      </c>
      <c r="AP6" s="937"/>
      <c r="AQ6" s="937" t="s">
        <v>76</v>
      </c>
      <c r="AR6" s="937"/>
      <c r="AS6" s="937" t="s">
        <v>77</v>
      </c>
      <c r="AT6" s="943"/>
      <c r="AU6" s="932"/>
      <c r="AV6" s="933"/>
      <c r="AW6" s="970" t="s">
        <v>75</v>
      </c>
      <c r="AX6" s="937"/>
      <c r="AY6" s="937" t="s">
        <v>76</v>
      </c>
      <c r="AZ6" s="937"/>
      <c r="BA6" s="937" t="s">
        <v>77</v>
      </c>
      <c r="BB6" s="943"/>
      <c r="BC6" s="932"/>
      <c r="BD6" s="983"/>
      <c r="BF6" s="978"/>
      <c r="BG6" s="981"/>
    </row>
    <row r="7" spans="1:59" s="336" customFormat="1" ht="12.75" customHeight="1" thickBot="1">
      <c r="A7" s="941" t="s">
        <v>78</v>
      </c>
      <c r="B7" s="942"/>
      <c r="C7" s="397"/>
      <c r="D7" s="459">
        <f>'Tab.5_VKM pro K'!C9</f>
        <v>0.293</v>
      </c>
      <c r="E7" s="398"/>
      <c r="F7" s="459">
        <f>'Tab.5_VKM pro K'!C10</f>
        <v>0.017</v>
      </c>
      <c r="G7" s="398"/>
      <c r="H7" s="459">
        <f>'Tab.5_VKM pro K'!C11</f>
        <v>0.05</v>
      </c>
      <c r="I7" s="399"/>
      <c r="J7" s="431">
        <f>'Tab.5_VKM pro K'!C12</f>
        <v>0.03</v>
      </c>
      <c r="K7" s="30"/>
      <c r="L7" s="400"/>
      <c r="M7" s="401"/>
      <c r="N7" s="401"/>
      <c r="O7" s="530">
        <f>'Tab.5_VKM pro K'!C14</f>
        <v>0.02</v>
      </c>
      <c r="P7" s="398"/>
      <c r="Q7" s="402"/>
      <c r="R7" s="398"/>
      <c r="S7" s="402"/>
      <c r="T7" s="398"/>
      <c r="U7" s="402"/>
      <c r="V7" s="489"/>
      <c r="W7" s="403">
        <f>'Tab.5_VKM pro K'!C15</f>
        <v>0.32</v>
      </c>
      <c r="X7" s="335"/>
      <c r="Y7" s="404"/>
      <c r="Z7" s="405"/>
      <c r="AA7" s="401"/>
      <c r="AB7" s="406"/>
      <c r="AC7" s="401"/>
      <c r="AD7" s="405"/>
      <c r="AE7" s="489"/>
      <c r="AF7" s="407">
        <f>'Tab.5_VKM pro K'!C17</f>
        <v>0.02</v>
      </c>
      <c r="AG7" s="537"/>
      <c r="AH7" s="405"/>
      <c r="AI7" s="401"/>
      <c r="AJ7" s="406"/>
      <c r="AK7" s="401"/>
      <c r="AL7" s="405"/>
      <c r="AM7" s="489"/>
      <c r="AN7" s="531">
        <f>'Tab.5_VKM pro K'!C18</f>
        <v>0.03</v>
      </c>
      <c r="AO7" s="537"/>
      <c r="AP7" s="405"/>
      <c r="AQ7" s="401"/>
      <c r="AR7" s="406"/>
      <c r="AS7" s="401"/>
      <c r="AT7" s="405"/>
      <c r="AU7" s="489"/>
      <c r="AV7" s="531">
        <f>'Tab.5_VKM pro K'!C19</f>
        <v>0.11</v>
      </c>
      <c r="AW7" s="537"/>
      <c r="AX7" s="405"/>
      <c r="AY7" s="401"/>
      <c r="AZ7" s="406"/>
      <c r="BA7" s="401"/>
      <c r="BB7" s="405"/>
      <c r="BC7" s="489"/>
      <c r="BD7" s="408">
        <f>'Tab.5_VKM pro K'!C20</f>
        <v>0.11</v>
      </c>
      <c r="BF7" s="539">
        <f>SUM(C7:BD7)</f>
        <v>1</v>
      </c>
      <c r="BG7" s="409">
        <f>'Tab.1_Bilance'!L18</f>
        <v>3095646</v>
      </c>
    </row>
    <row r="8" spans="1:59" s="337" customFormat="1" ht="12.75" customHeight="1">
      <c r="A8" s="934" t="s">
        <v>79</v>
      </c>
      <c r="B8" s="935"/>
      <c r="C8" s="426"/>
      <c r="D8" s="456">
        <v>1.0000000000000004</v>
      </c>
      <c r="E8" s="427"/>
      <c r="F8" s="456">
        <f>SUM(F9:F34)</f>
        <v>1</v>
      </c>
      <c r="G8" s="427"/>
      <c r="H8" s="456">
        <f>SUM(H9:H34)</f>
        <v>1</v>
      </c>
      <c r="I8" s="429"/>
      <c r="J8" s="432">
        <f>SUM(J9:J34)</f>
        <v>0.9999999999999999</v>
      </c>
      <c r="K8" s="30"/>
      <c r="L8" s="486"/>
      <c r="M8" s="487"/>
      <c r="N8" s="487"/>
      <c r="O8" s="456">
        <f>SUM(O9:O34)</f>
        <v>0.9999999999999999</v>
      </c>
      <c r="P8" s="496"/>
      <c r="Q8" s="493"/>
      <c r="R8" s="499"/>
      <c r="S8" s="493"/>
      <c r="T8" s="499"/>
      <c r="U8" s="428"/>
      <c r="V8" s="499"/>
      <c r="W8" s="430">
        <f>SUM(W9:W34)</f>
        <v>0.9999999999999999</v>
      </c>
      <c r="Y8" s="426"/>
      <c r="Z8" s="493"/>
      <c r="AA8" s="499"/>
      <c r="AB8" s="493"/>
      <c r="AC8" s="499"/>
      <c r="AD8" s="428"/>
      <c r="AE8" s="499"/>
      <c r="AF8" s="428">
        <f>SUM(AF9:AF34)</f>
        <v>1</v>
      </c>
      <c r="AG8" s="496"/>
      <c r="AH8" s="493"/>
      <c r="AI8" s="499"/>
      <c r="AJ8" s="493"/>
      <c r="AK8" s="499"/>
      <c r="AL8" s="428"/>
      <c r="AM8" s="499"/>
      <c r="AN8" s="532">
        <f>SUM(AN9:AN34)</f>
        <v>1</v>
      </c>
      <c r="AO8" s="496"/>
      <c r="AP8" s="493"/>
      <c r="AQ8" s="499"/>
      <c r="AR8" s="493"/>
      <c r="AS8" s="499"/>
      <c r="AT8" s="428"/>
      <c r="AU8" s="499"/>
      <c r="AV8" s="532">
        <f>SUM(AV9:AV34)</f>
        <v>1</v>
      </c>
      <c r="AW8" s="496"/>
      <c r="AX8" s="493"/>
      <c r="AY8" s="499"/>
      <c r="AZ8" s="493"/>
      <c r="BA8" s="499"/>
      <c r="BB8" s="428"/>
      <c r="BC8" s="499"/>
      <c r="BD8" s="430">
        <f>SUM(BD9:BD34)</f>
        <v>1</v>
      </c>
      <c r="BF8" s="540">
        <f>SUM(BF9:BF34)</f>
        <v>1.0000000000000002</v>
      </c>
      <c r="BG8" s="541">
        <f>SUM(BG9:BG34)</f>
        <v>3095646</v>
      </c>
    </row>
    <row r="9" spans="1:59" s="336" customFormat="1" ht="11.25" customHeight="1">
      <c r="A9" s="422">
        <v>11000</v>
      </c>
      <c r="B9" s="423" t="s">
        <v>80</v>
      </c>
      <c r="C9" s="389"/>
      <c r="D9" s="457">
        <f>D65</f>
        <v>0.3155755138370034</v>
      </c>
      <c r="E9" s="31"/>
      <c r="F9" s="457">
        <f>F65</f>
        <v>0</v>
      </c>
      <c r="G9" s="30"/>
      <c r="H9" s="457">
        <f>(H65*5+H93*3+H121*2)/10</f>
        <v>0.2567745262249336</v>
      </c>
      <c r="J9" s="433">
        <f>(J65*5+J93*3+J121*2)/10</f>
        <v>0.2934253447380132</v>
      </c>
      <c r="K9" s="30"/>
      <c r="L9" s="482"/>
      <c r="M9" s="483"/>
      <c r="N9" s="483"/>
      <c r="O9" s="457">
        <f>(O65*5+O93*3+O121*2)/10</f>
        <v>0.2161568700043918</v>
      </c>
      <c r="P9" s="497"/>
      <c r="Q9" s="494"/>
      <c r="R9" s="500"/>
      <c r="S9" s="494"/>
      <c r="T9" s="500"/>
      <c r="U9" s="30"/>
      <c r="V9" s="502"/>
      <c r="W9" s="390">
        <f>W37</f>
        <v>0.14132825699501986</v>
      </c>
      <c r="Y9" s="535"/>
      <c r="Z9" s="494"/>
      <c r="AA9" s="500"/>
      <c r="AB9" s="494"/>
      <c r="AC9" s="500"/>
      <c r="AD9" s="30"/>
      <c r="AE9" s="502"/>
      <c r="AF9" s="30">
        <f>(AF37*5+AF65*3+AF93*2)/10</f>
        <v>0.19357336698773145</v>
      </c>
      <c r="AG9" s="497"/>
      <c r="AH9" s="494"/>
      <c r="AI9" s="500"/>
      <c r="AJ9" s="494"/>
      <c r="AK9" s="500"/>
      <c r="AL9" s="30"/>
      <c r="AM9" s="502"/>
      <c r="AN9" s="533">
        <f>(AN37*5+AN65*3+AN93*2)/10</f>
        <v>0.6189147593082731</v>
      </c>
      <c r="AO9" s="497"/>
      <c r="AP9" s="494"/>
      <c r="AQ9" s="500"/>
      <c r="AR9" s="494"/>
      <c r="AS9" s="500"/>
      <c r="AT9" s="30"/>
      <c r="AU9" s="502"/>
      <c r="AV9" s="533">
        <f>(AV37*5+AV65*3+AV93*2)/10</f>
        <v>0.12334419668825942</v>
      </c>
      <c r="AW9" s="497"/>
      <c r="AX9" s="494"/>
      <c r="AY9" s="500"/>
      <c r="AZ9" s="494"/>
      <c r="BA9" s="500"/>
      <c r="BB9" s="30"/>
      <c r="BC9" s="502"/>
      <c r="BD9" s="390">
        <f>(BD37*5+BD65*3+BD93*2)/10</f>
        <v>0.2724452491128323</v>
      </c>
      <c r="BF9" s="542">
        <f aca="true" t="shared" si="0" ref="BF9:BF34">SUMPRODUCT(C$7:BD$7,C9:BD9)</f>
        <v>0.22962904100324616</v>
      </c>
      <c r="BG9" s="543">
        <f aca="true" t="shared" si="1" ref="BG9:BG34">BF9*BG$7</f>
        <v>710850.2222655349</v>
      </c>
    </row>
    <row r="10" spans="1:59" s="336" customFormat="1" ht="11.25" customHeight="1">
      <c r="A10" s="422">
        <v>12000</v>
      </c>
      <c r="B10" s="423" t="s">
        <v>81</v>
      </c>
      <c r="C10" s="389"/>
      <c r="D10" s="457">
        <f aca="true" t="shared" si="2" ref="D10:D34">D66</f>
        <v>0.03585588814575183</v>
      </c>
      <c r="E10" s="31"/>
      <c r="F10" s="457">
        <f aca="true" t="shared" si="3" ref="F10:F34">F66</f>
        <v>0</v>
      </c>
      <c r="G10" s="30"/>
      <c r="H10" s="457">
        <f aca="true" t="shared" si="4" ref="H10:H34">(H66*5+H94*3+H122*2)/10</f>
        <v>0.03255187502563643</v>
      </c>
      <c r="J10" s="433">
        <f aca="true" t="shared" si="5" ref="J10:J34">(J66*5+J94*3+J122*2)/10</f>
        <v>0.023947252023385168</v>
      </c>
      <c r="K10" s="30"/>
      <c r="L10" s="482"/>
      <c r="M10" s="483"/>
      <c r="N10" s="483"/>
      <c r="O10" s="457">
        <f aca="true" t="shared" si="6" ref="O10:O34">(O66*5+O94*3+O122*2)/10</f>
        <v>0.028122214725128845</v>
      </c>
      <c r="P10" s="497"/>
      <c r="Q10" s="494"/>
      <c r="R10" s="500"/>
      <c r="S10" s="494"/>
      <c r="T10" s="500"/>
      <c r="U10" s="30"/>
      <c r="V10" s="503"/>
      <c r="W10" s="390">
        <f>W38</f>
        <v>0.04266067153740041</v>
      </c>
      <c r="Y10" s="535"/>
      <c r="Z10" s="494"/>
      <c r="AA10" s="500"/>
      <c r="AB10" s="494"/>
      <c r="AC10" s="500"/>
      <c r="AD10" s="30"/>
      <c r="AE10" s="503"/>
      <c r="AF10" s="30">
        <f aca="true" t="shared" si="7" ref="AF10:AF34">(AF38*5+AF66*3+AF94*2)/10</f>
        <v>0.008487069973804844</v>
      </c>
      <c r="AG10" s="497"/>
      <c r="AH10" s="494"/>
      <c r="AI10" s="500"/>
      <c r="AJ10" s="494"/>
      <c r="AK10" s="500"/>
      <c r="AL10" s="30"/>
      <c r="AM10" s="503"/>
      <c r="AN10" s="533">
        <f aca="true" t="shared" si="8" ref="AN10:AN34">(AN38*5+AN66*3+AN94*2)/10</f>
        <v>0</v>
      </c>
      <c r="AO10" s="497"/>
      <c r="AP10" s="494"/>
      <c r="AQ10" s="500"/>
      <c r="AR10" s="494"/>
      <c r="AS10" s="500"/>
      <c r="AT10" s="30"/>
      <c r="AU10" s="503"/>
      <c r="AV10" s="533">
        <f aca="true" t="shared" si="9" ref="AV10:AV34">(AV38*5+AV66*3+AV94*2)/10</f>
        <v>0.02194400943303061</v>
      </c>
      <c r="AW10" s="497"/>
      <c r="AX10" s="494"/>
      <c r="AY10" s="500"/>
      <c r="AZ10" s="494"/>
      <c r="BA10" s="500"/>
      <c r="BB10" s="30"/>
      <c r="BC10" s="503"/>
      <c r="BD10" s="390">
        <f aca="true" t="shared" si="10" ref="BD10:BD34">(BD38*5+BD66*3+BD94*2)/10</f>
        <v>0.006349898277752272</v>
      </c>
      <c r="BF10" s="542">
        <f t="shared" si="0"/>
        <v>0.03034771697282158</v>
      </c>
      <c r="BG10" s="543">
        <f t="shared" si="1"/>
        <v>93945.78865604724</v>
      </c>
    </row>
    <row r="11" spans="1:59" s="336" customFormat="1" ht="11.25" customHeight="1">
      <c r="A11" s="422">
        <v>13000</v>
      </c>
      <c r="B11" s="423" t="s">
        <v>82</v>
      </c>
      <c r="C11" s="389"/>
      <c r="D11" s="457">
        <f t="shared" si="2"/>
        <v>0.006538752318329648</v>
      </c>
      <c r="E11" s="31"/>
      <c r="F11" s="457">
        <f t="shared" si="3"/>
        <v>0.05257611376822503</v>
      </c>
      <c r="G11" s="30"/>
      <c r="H11" s="457">
        <f t="shared" si="4"/>
        <v>0.008112994120517341</v>
      </c>
      <c r="J11" s="433">
        <f t="shared" si="5"/>
        <v>0.011873212224645522</v>
      </c>
      <c r="K11" s="30"/>
      <c r="L11" s="482"/>
      <c r="M11" s="483"/>
      <c r="N11" s="483"/>
      <c r="O11" s="457">
        <f t="shared" si="6"/>
        <v>0.021798370346998282</v>
      </c>
      <c r="P11" s="497"/>
      <c r="Q11" s="494"/>
      <c r="R11" s="500"/>
      <c r="S11" s="494"/>
      <c r="T11" s="500"/>
      <c r="U11" s="30"/>
      <c r="V11" s="503"/>
      <c r="W11" s="390">
        <f>W39</f>
        <v>0.02776060794420012</v>
      </c>
      <c r="Y11" s="535"/>
      <c r="Z11" s="494"/>
      <c r="AA11" s="500"/>
      <c r="AB11" s="494"/>
      <c r="AC11" s="500"/>
      <c r="AD11" s="30"/>
      <c r="AE11" s="503"/>
      <c r="AF11" s="30">
        <f t="shared" si="7"/>
        <v>0.008159089556885967</v>
      </c>
      <c r="AG11" s="497"/>
      <c r="AH11" s="494"/>
      <c r="AI11" s="500"/>
      <c r="AJ11" s="494"/>
      <c r="AK11" s="500"/>
      <c r="AL11" s="30"/>
      <c r="AM11" s="503"/>
      <c r="AN11" s="533">
        <f t="shared" si="8"/>
        <v>0.0020766873809836355</v>
      </c>
      <c r="AO11" s="497"/>
      <c r="AP11" s="494"/>
      <c r="AQ11" s="500"/>
      <c r="AR11" s="494"/>
      <c r="AS11" s="500"/>
      <c r="AT11" s="30"/>
      <c r="AU11" s="503"/>
      <c r="AV11" s="533">
        <f t="shared" si="9"/>
        <v>0.03493986156953034</v>
      </c>
      <c r="AW11" s="497"/>
      <c r="AX11" s="494"/>
      <c r="AY11" s="500"/>
      <c r="AZ11" s="494"/>
      <c r="BA11" s="500"/>
      <c r="BB11" s="30"/>
      <c r="BC11" s="503"/>
      <c r="BD11" s="390">
        <f t="shared" si="10"/>
        <v>0.011779263620724392</v>
      </c>
      <c r="BF11" s="542">
        <f t="shared" si="0"/>
        <v>0.0182554425686749</v>
      </c>
      <c r="BG11" s="543">
        <f t="shared" si="1"/>
        <v>56512.38776594817</v>
      </c>
    </row>
    <row r="12" spans="1:59" s="336" customFormat="1" ht="11.25" customHeight="1">
      <c r="A12" s="422">
        <v>14000</v>
      </c>
      <c r="B12" s="423" t="s">
        <v>83</v>
      </c>
      <c r="C12" s="389"/>
      <c r="D12" s="457">
        <f t="shared" si="2"/>
        <v>0.11876703295590574</v>
      </c>
      <c r="E12" s="31"/>
      <c r="F12" s="457">
        <f t="shared" si="3"/>
        <v>0</v>
      </c>
      <c r="G12" s="30"/>
      <c r="H12" s="457">
        <f t="shared" si="4"/>
        <v>0.10918166284253594</v>
      </c>
      <c r="J12" s="433">
        <f t="shared" si="5"/>
        <v>0.09431765040116769</v>
      </c>
      <c r="K12" s="30"/>
      <c r="L12" s="482"/>
      <c r="M12" s="483"/>
      <c r="N12" s="483"/>
      <c r="O12" s="457">
        <f t="shared" si="6"/>
        <v>0.09388516784176346</v>
      </c>
      <c r="P12" s="497"/>
      <c r="Q12" s="494"/>
      <c r="R12" s="500"/>
      <c r="S12" s="494"/>
      <c r="T12" s="500"/>
      <c r="U12" s="30"/>
      <c r="V12" s="503"/>
      <c r="W12" s="390">
        <f>W40</f>
        <v>0.09514614747066495</v>
      </c>
      <c r="Y12" s="535"/>
      <c r="Z12" s="494"/>
      <c r="AA12" s="500"/>
      <c r="AB12" s="494"/>
      <c r="AC12" s="500"/>
      <c r="AD12" s="30"/>
      <c r="AE12" s="503"/>
      <c r="AF12" s="30">
        <f t="shared" si="7"/>
        <v>0.2148011079826539</v>
      </c>
      <c r="AG12" s="497"/>
      <c r="AH12" s="494"/>
      <c r="AI12" s="500"/>
      <c r="AJ12" s="494"/>
      <c r="AK12" s="500"/>
      <c r="AL12" s="30"/>
      <c r="AM12" s="503"/>
      <c r="AN12" s="533">
        <f t="shared" si="8"/>
        <v>0.12822534175415573</v>
      </c>
      <c r="AO12" s="497"/>
      <c r="AP12" s="494"/>
      <c r="AQ12" s="500"/>
      <c r="AR12" s="494"/>
      <c r="AS12" s="500"/>
      <c r="AT12" s="30"/>
      <c r="AU12" s="503"/>
      <c r="AV12" s="533">
        <f t="shared" si="9"/>
        <v>0.19532658410188494</v>
      </c>
      <c r="AW12" s="497"/>
      <c r="AX12" s="494"/>
      <c r="AY12" s="500"/>
      <c r="AZ12" s="494"/>
      <c r="BA12" s="500"/>
      <c r="BB12" s="30"/>
      <c r="BC12" s="503"/>
      <c r="BD12" s="390">
        <f t="shared" si="10"/>
        <v>0.1614353773602376</v>
      </c>
      <c r="BF12" s="542">
        <f t="shared" si="0"/>
        <v>0.12279842203080152</v>
      </c>
      <c r="BG12" s="543">
        <f t="shared" si="1"/>
        <v>380140.4439659626</v>
      </c>
    </row>
    <row r="13" spans="1:59" s="336" customFormat="1" ht="11.25" customHeight="1">
      <c r="A13" s="422">
        <v>15000</v>
      </c>
      <c r="B13" s="423" t="s">
        <v>84</v>
      </c>
      <c r="C13" s="389"/>
      <c r="D13" s="457">
        <f t="shared" si="2"/>
        <v>0.06508719555302911</v>
      </c>
      <c r="E13" s="31"/>
      <c r="F13" s="457">
        <f t="shared" si="3"/>
        <v>0</v>
      </c>
      <c r="G13" s="30"/>
      <c r="H13" s="457">
        <f t="shared" si="4"/>
        <v>0.06173389096140005</v>
      </c>
      <c r="J13" s="433">
        <f t="shared" si="5"/>
        <v>0.042223335855962066</v>
      </c>
      <c r="K13" s="30"/>
      <c r="L13" s="482"/>
      <c r="M13" s="483"/>
      <c r="N13" s="483"/>
      <c r="O13" s="457">
        <f t="shared" si="6"/>
        <v>0.06576139413719795</v>
      </c>
      <c r="P13" s="497"/>
      <c r="Q13" s="494"/>
      <c r="R13" s="500"/>
      <c r="S13" s="494"/>
      <c r="T13" s="500"/>
      <c r="U13" s="30"/>
      <c r="V13" s="503"/>
      <c r="W13" s="390">
        <f>W41</f>
        <v>0.06904094528497731</v>
      </c>
      <c r="Y13" s="535"/>
      <c r="Z13" s="494"/>
      <c r="AA13" s="500"/>
      <c r="AB13" s="494"/>
      <c r="AC13" s="500"/>
      <c r="AD13" s="30"/>
      <c r="AE13" s="503"/>
      <c r="AF13" s="30">
        <f t="shared" si="7"/>
        <v>0.04293342791185654</v>
      </c>
      <c r="AG13" s="497"/>
      <c r="AH13" s="494"/>
      <c r="AI13" s="500"/>
      <c r="AJ13" s="494"/>
      <c r="AK13" s="500"/>
      <c r="AL13" s="30"/>
      <c r="AM13" s="503"/>
      <c r="AN13" s="533">
        <f t="shared" si="8"/>
        <v>0.07603105143468887</v>
      </c>
      <c r="AO13" s="497"/>
      <c r="AP13" s="494"/>
      <c r="AQ13" s="500"/>
      <c r="AR13" s="494"/>
      <c r="AS13" s="500"/>
      <c r="AT13" s="30"/>
      <c r="AU13" s="503"/>
      <c r="AV13" s="533">
        <f t="shared" si="9"/>
        <v>0.07612388164205178</v>
      </c>
      <c r="AW13" s="497"/>
      <c r="AX13" s="494"/>
      <c r="AY13" s="500"/>
      <c r="AZ13" s="494"/>
      <c r="BA13" s="500"/>
      <c r="BB13" s="30"/>
      <c r="BC13" s="503"/>
      <c r="BD13" s="390">
        <f t="shared" si="10"/>
        <v>0.038953851237843715</v>
      </c>
      <c r="BF13" s="542">
        <f t="shared" si="0"/>
        <v>0.06263042401278938</v>
      </c>
      <c r="BG13" s="543">
        <f t="shared" si="1"/>
        <v>193881.62157349542</v>
      </c>
    </row>
    <row r="14" spans="1:59" s="336" customFormat="1" ht="11.25" customHeight="1">
      <c r="A14" s="422">
        <v>16000</v>
      </c>
      <c r="B14" s="423" t="s">
        <v>85</v>
      </c>
      <c r="C14" s="389"/>
      <c r="D14" s="457">
        <f t="shared" si="2"/>
        <v>0.011034399709448422</v>
      </c>
      <c r="E14" s="31"/>
      <c r="F14" s="457">
        <f t="shared" si="3"/>
        <v>0</v>
      </c>
      <c r="G14" s="30"/>
      <c r="H14" s="457">
        <f t="shared" si="4"/>
        <v>0.00890565830625772</v>
      </c>
      <c r="J14" s="433">
        <f t="shared" si="5"/>
        <v>0.018888188390541107</v>
      </c>
      <c r="K14" s="30"/>
      <c r="L14" s="482"/>
      <c r="M14" s="483"/>
      <c r="N14" s="483"/>
      <c r="O14" s="457">
        <f t="shared" si="6"/>
        <v>0.014235151370405149</v>
      </c>
      <c r="P14" s="497"/>
      <c r="Q14" s="494"/>
      <c r="R14" s="500"/>
      <c r="S14" s="494"/>
      <c r="T14" s="500"/>
      <c r="U14" s="30"/>
      <c r="V14" s="503"/>
      <c r="W14" s="390">
        <f>W42</f>
        <v>0.014252060436105099</v>
      </c>
      <c r="Y14" s="535"/>
      <c r="Z14" s="494"/>
      <c r="AA14" s="500"/>
      <c r="AB14" s="494"/>
      <c r="AC14" s="500"/>
      <c r="AD14" s="30"/>
      <c r="AE14" s="503"/>
      <c r="AF14" s="30">
        <f t="shared" si="7"/>
        <v>0.015364673524674077</v>
      </c>
      <c r="AG14" s="497"/>
      <c r="AH14" s="494"/>
      <c r="AI14" s="500"/>
      <c r="AJ14" s="494"/>
      <c r="AK14" s="500"/>
      <c r="AL14" s="30"/>
      <c r="AM14" s="503"/>
      <c r="AN14" s="533">
        <f t="shared" si="8"/>
        <v>0.047132743562888726</v>
      </c>
      <c r="AO14" s="497"/>
      <c r="AP14" s="494"/>
      <c r="AQ14" s="500"/>
      <c r="AR14" s="494"/>
      <c r="AS14" s="500"/>
      <c r="AT14" s="30"/>
      <c r="AU14" s="503"/>
      <c r="AV14" s="533">
        <f t="shared" si="9"/>
        <v>0.006064821281072804</v>
      </c>
      <c r="AW14" s="497"/>
      <c r="AX14" s="494"/>
      <c r="AY14" s="500"/>
      <c r="AZ14" s="494"/>
      <c r="BA14" s="500"/>
      <c r="BB14" s="30"/>
      <c r="BC14" s="503"/>
      <c r="BD14" s="390">
        <f t="shared" si="10"/>
        <v>0.004460013665047652</v>
      </c>
      <c r="BF14" s="542">
        <f t="shared" si="0"/>
        <v>0.011969377670312633</v>
      </c>
      <c r="BG14" s="543">
        <f t="shared" si="1"/>
        <v>37052.956107592625</v>
      </c>
    </row>
    <row r="15" spans="1:59" s="336" customFormat="1" ht="11.25" customHeight="1">
      <c r="A15" s="422">
        <v>17000</v>
      </c>
      <c r="B15" s="423" t="s">
        <v>86</v>
      </c>
      <c r="C15" s="389"/>
      <c r="D15" s="457">
        <f t="shared" si="2"/>
        <v>0.010889792195598231</v>
      </c>
      <c r="E15" s="31"/>
      <c r="F15" s="457">
        <f t="shared" si="3"/>
        <v>0.06784325987346218</v>
      </c>
      <c r="G15" s="30"/>
      <c r="H15" s="457">
        <f t="shared" si="4"/>
        <v>0.009916861885228393</v>
      </c>
      <c r="J15" s="433">
        <f t="shared" si="5"/>
        <v>0.013240872550791144</v>
      </c>
      <c r="K15" s="30"/>
      <c r="L15" s="482"/>
      <c r="M15" s="483"/>
      <c r="N15" s="483"/>
      <c r="O15" s="457">
        <f t="shared" si="6"/>
        <v>0.022113742686145556</v>
      </c>
      <c r="P15" s="497"/>
      <c r="Q15" s="494"/>
      <c r="R15" s="500"/>
      <c r="S15" s="494"/>
      <c r="T15" s="500"/>
      <c r="U15" s="30"/>
      <c r="V15" s="503"/>
      <c r="W15" s="390">
        <f>W43</f>
        <v>0.03666102307089549</v>
      </c>
      <c r="Y15" s="535"/>
      <c r="Z15" s="494"/>
      <c r="AA15" s="500"/>
      <c r="AB15" s="494"/>
      <c r="AC15" s="500"/>
      <c r="AD15" s="30"/>
      <c r="AE15" s="503"/>
      <c r="AF15" s="30">
        <f t="shared" si="7"/>
        <v>0.011082289011439365</v>
      </c>
      <c r="AG15" s="497"/>
      <c r="AH15" s="494"/>
      <c r="AI15" s="500"/>
      <c r="AJ15" s="494"/>
      <c r="AK15" s="500"/>
      <c r="AL15" s="30"/>
      <c r="AM15" s="503"/>
      <c r="AN15" s="533">
        <f t="shared" si="8"/>
        <v>0.014727151237603733</v>
      </c>
      <c r="AO15" s="497"/>
      <c r="AP15" s="494"/>
      <c r="AQ15" s="500"/>
      <c r="AR15" s="494"/>
      <c r="AS15" s="500"/>
      <c r="AT15" s="30"/>
      <c r="AU15" s="503"/>
      <c r="AV15" s="533">
        <f t="shared" si="9"/>
        <v>0.025104714989662276</v>
      </c>
      <c r="AW15" s="497"/>
      <c r="AX15" s="494"/>
      <c r="AY15" s="500"/>
      <c r="AZ15" s="494"/>
      <c r="BA15" s="500"/>
      <c r="BB15" s="30"/>
      <c r="BC15" s="503"/>
      <c r="BD15" s="390">
        <f t="shared" si="10"/>
        <v>0.018191850628477044</v>
      </c>
      <c r="BF15" s="542">
        <f t="shared" si="0"/>
        <v>0.022836998573705986</v>
      </c>
      <c r="BG15" s="543">
        <f t="shared" si="1"/>
        <v>70695.26328669864</v>
      </c>
    </row>
    <row r="16" spans="1:59" s="336" customFormat="1" ht="11.25" customHeight="1">
      <c r="A16" s="422">
        <v>18000</v>
      </c>
      <c r="B16" s="423" t="s">
        <v>87</v>
      </c>
      <c r="C16" s="389"/>
      <c r="D16" s="457">
        <f t="shared" si="2"/>
        <v>0.00424672916128509</v>
      </c>
      <c r="E16" s="31"/>
      <c r="F16" s="457">
        <f t="shared" si="3"/>
        <v>0</v>
      </c>
      <c r="G16" s="30"/>
      <c r="H16" s="457">
        <f t="shared" si="4"/>
        <v>0.0025625652852949493</v>
      </c>
      <c r="J16" s="433">
        <f t="shared" si="5"/>
        <v>0.009608174404052282</v>
      </c>
      <c r="K16" s="30"/>
      <c r="L16" s="482"/>
      <c r="M16" s="483"/>
      <c r="N16" s="483"/>
      <c r="O16" s="457">
        <f t="shared" si="6"/>
        <v>0.01788504002269959</v>
      </c>
      <c r="P16" s="497"/>
      <c r="Q16" s="494"/>
      <c r="R16" s="500"/>
      <c r="S16" s="494"/>
      <c r="T16" s="500"/>
      <c r="U16" s="30"/>
      <c r="V16" s="503"/>
      <c r="W16" s="390">
        <f>W44</f>
        <v>0.02771371425315531</v>
      </c>
      <c r="Y16" s="535"/>
      <c r="Z16" s="494"/>
      <c r="AA16" s="500"/>
      <c r="AB16" s="494"/>
      <c r="AC16" s="500"/>
      <c r="AD16" s="30"/>
      <c r="AE16" s="503"/>
      <c r="AF16" s="30">
        <f t="shared" si="7"/>
        <v>0.0035269004583718686</v>
      </c>
      <c r="AG16" s="497"/>
      <c r="AH16" s="494"/>
      <c r="AI16" s="500"/>
      <c r="AJ16" s="494"/>
      <c r="AK16" s="500"/>
      <c r="AL16" s="30"/>
      <c r="AM16" s="503"/>
      <c r="AN16" s="533">
        <f t="shared" si="8"/>
        <v>0.0073560790135374105</v>
      </c>
      <c r="AO16" s="497"/>
      <c r="AP16" s="494"/>
      <c r="AQ16" s="500"/>
      <c r="AR16" s="494"/>
      <c r="AS16" s="500"/>
      <c r="AT16" s="30"/>
      <c r="AU16" s="503"/>
      <c r="AV16" s="533">
        <f t="shared" si="9"/>
        <v>0.02386768491884351</v>
      </c>
      <c r="AW16" s="497"/>
      <c r="AX16" s="494"/>
      <c r="AY16" s="500"/>
      <c r="AZ16" s="494"/>
      <c r="BA16" s="500"/>
      <c r="BB16" s="30"/>
      <c r="BC16" s="503"/>
      <c r="BD16" s="390">
        <f t="shared" si="10"/>
        <v>0.009608965115014759</v>
      </c>
      <c r="BF16" s="542">
        <f t="shared" si="0"/>
        <v>0.01486040638540451</v>
      </c>
      <c r="BG16" s="543">
        <f t="shared" si="1"/>
        <v>46002.55758535193</v>
      </c>
    </row>
    <row r="17" spans="1:59" s="336" customFormat="1" ht="11.25" customHeight="1">
      <c r="A17" s="422">
        <v>19000</v>
      </c>
      <c r="B17" s="423" t="s">
        <v>88</v>
      </c>
      <c r="C17" s="389"/>
      <c r="D17" s="457">
        <f t="shared" si="2"/>
        <v>0.006611984749769653</v>
      </c>
      <c r="E17" s="31"/>
      <c r="F17" s="457">
        <f t="shared" si="3"/>
        <v>0</v>
      </c>
      <c r="G17" s="30"/>
      <c r="H17" s="457">
        <f t="shared" si="4"/>
        <v>0.0028559345403699494</v>
      </c>
      <c r="J17" s="433">
        <f t="shared" si="5"/>
        <v>0.01182796468686453</v>
      </c>
      <c r="K17" s="30"/>
      <c r="L17" s="482"/>
      <c r="M17" s="483"/>
      <c r="N17" s="483"/>
      <c r="O17" s="457">
        <f t="shared" si="6"/>
        <v>0.010871021717815482</v>
      </c>
      <c r="P17" s="497"/>
      <c r="Q17" s="494"/>
      <c r="R17" s="500"/>
      <c r="S17" s="494"/>
      <c r="T17" s="500"/>
      <c r="U17" s="30"/>
      <c r="V17" s="503"/>
      <c r="W17" s="390">
        <f>W45</f>
        <v>0.020604421701704904</v>
      </c>
      <c r="Y17" s="535"/>
      <c r="Z17" s="494"/>
      <c r="AA17" s="500"/>
      <c r="AB17" s="494"/>
      <c r="AC17" s="500"/>
      <c r="AD17" s="30"/>
      <c r="AE17" s="503"/>
      <c r="AF17" s="30">
        <f t="shared" si="7"/>
        <v>0.019021618951758572</v>
      </c>
      <c r="AG17" s="497"/>
      <c r="AH17" s="494"/>
      <c r="AI17" s="500"/>
      <c r="AJ17" s="494"/>
      <c r="AK17" s="500"/>
      <c r="AL17" s="30"/>
      <c r="AM17" s="503"/>
      <c r="AN17" s="533">
        <f t="shared" si="8"/>
        <v>0</v>
      </c>
      <c r="AO17" s="497"/>
      <c r="AP17" s="494"/>
      <c r="AQ17" s="500"/>
      <c r="AR17" s="494"/>
      <c r="AS17" s="500"/>
      <c r="AT17" s="30"/>
      <c r="AU17" s="503"/>
      <c r="AV17" s="533">
        <f t="shared" si="9"/>
        <v>0.013529581491552367</v>
      </c>
      <c r="AW17" s="497"/>
      <c r="AX17" s="494"/>
      <c r="AY17" s="500"/>
      <c r="AZ17" s="494"/>
      <c r="BA17" s="500"/>
      <c r="BB17" s="30"/>
      <c r="BC17" s="503"/>
      <c r="BD17" s="390">
        <f t="shared" si="10"/>
        <v>0.004369562454916023</v>
      </c>
      <c r="BF17" s="542">
        <f t="shared" si="0"/>
        <v>0.011595120791355515</v>
      </c>
      <c r="BG17" s="543">
        <f t="shared" si="1"/>
        <v>35894.38929727653</v>
      </c>
    </row>
    <row r="18" spans="1:59" s="336" customFormat="1" ht="11.25" customHeight="1">
      <c r="A18" s="422">
        <v>21000</v>
      </c>
      <c r="B18" s="423" t="s">
        <v>89</v>
      </c>
      <c r="C18" s="389"/>
      <c r="D18" s="457">
        <f t="shared" si="2"/>
        <v>0.1333695484246462</v>
      </c>
      <c r="E18" s="31"/>
      <c r="F18" s="457">
        <f t="shared" si="3"/>
        <v>0.022149907547876303</v>
      </c>
      <c r="G18" s="30"/>
      <c r="H18" s="457">
        <f t="shared" si="4"/>
        <v>0.1538700049885346</v>
      </c>
      <c r="J18" s="433">
        <f t="shared" si="5"/>
        <v>0.12594951357830428</v>
      </c>
      <c r="K18" s="30"/>
      <c r="L18" s="482"/>
      <c r="M18" s="483"/>
      <c r="N18" s="483"/>
      <c r="O18" s="457">
        <f t="shared" si="6"/>
        <v>0.09477471529868227</v>
      </c>
      <c r="P18" s="497"/>
      <c r="Q18" s="494"/>
      <c r="R18" s="500"/>
      <c r="S18" s="494"/>
      <c r="T18" s="500"/>
      <c r="U18" s="30"/>
      <c r="V18" s="503"/>
      <c r="W18" s="390">
        <f>W46</f>
        <v>0.06385815951623236</v>
      </c>
      <c r="Y18" s="535"/>
      <c r="Z18" s="494"/>
      <c r="AA18" s="500"/>
      <c r="AB18" s="494"/>
      <c r="AC18" s="500"/>
      <c r="AD18" s="30"/>
      <c r="AE18" s="503"/>
      <c r="AF18" s="30">
        <f t="shared" si="7"/>
        <v>0.0765012893370844</v>
      </c>
      <c r="AG18" s="497"/>
      <c r="AH18" s="494"/>
      <c r="AI18" s="500"/>
      <c r="AJ18" s="494"/>
      <c r="AK18" s="500"/>
      <c r="AL18" s="30"/>
      <c r="AM18" s="503"/>
      <c r="AN18" s="533">
        <f t="shared" si="8"/>
        <v>0.029639721983992572</v>
      </c>
      <c r="AO18" s="497"/>
      <c r="AP18" s="494"/>
      <c r="AQ18" s="500"/>
      <c r="AR18" s="494"/>
      <c r="AS18" s="500"/>
      <c r="AT18" s="30"/>
      <c r="AU18" s="503"/>
      <c r="AV18" s="533">
        <f t="shared" si="9"/>
        <v>0.06676838995488157</v>
      </c>
      <c r="AW18" s="497"/>
      <c r="AX18" s="494"/>
      <c r="AY18" s="500"/>
      <c r="AZ18" s="494"/>
      <c r="BA18" s="500"/>
      <c r="BB18" s="30"/>
      <c r="BC18" s="503"/>
      <c r="BD18" s="390">
        <f t="shared" si="10"/>
        <v>0.12055290439011017</v>
      </c>
      <c r="BF18" s="542">
        <f t="shared" si="0"/>
        <v>0.09628047694888965</v>
      </c>
      <c r="BG18" s="543">
        <f t="shared" si="1"/>
        <v>298050.27334492246</v>
      </c>
    </row>
    <row r="19" spans="1:59" s="336" customFormat="1" ht="11.25" customHeight="1">
      <c r="A19" s="422">
        <v>22000</v>
      </c>
      <c r="B19" s="423" t="s">
        <v>90</v>
      </c>
      <c r="C19" s="389"/>
      <c r="D19" s="457">
        <f t="shared" si="2"/>
        <v>0.04266730730577721</v>
      </c>
      <c r="E19" s="31"/>
      <c r="F19" s="457">
        <f t="shared" si="3"/>
        <v>0</v>
      </c>
      <c r="G19" s="30"/>
      <c r="H19" s="457">
        <f t="shared" si="4"/>
        <v>0.04685051727887944</v>
      </c>
      <c r="J19" s="433">
        <f t="shared" si="5"/>
        <v>0.026943135653479267</v>
      </c>
      <c r="K19" s="30"/>
      <c r="L19" s="482"/>
      <c r="M19" s="483"/>
      <c r="N19" s="483"/>
      <c r="O19" s="457">
        <f t="shared" si="6"/>
        <v>0.029445416392558422</v>
      </c>
      <c r="P19" s="497"/>
      <c r="Q19" s="494"/>
      <c r="R19" s="500"/>
      <c r="S19" s="494"/>
      <c r="T19" s="500"/>
      <c r="U19" s="30"/>
      <c r="V19" s="503"/>
      <c r="W19" s="390">
        <f>W47</f>
        <v>0.016297711350716247</v>
      </c>
      <c r="Y19" s="535"/>
      <c r="Z19" s="494"/>
      <c r="AA19" s="500"/>
      <c r="AB19" s="494"/>
      <c r="AC19" s="500"/>
      <c r="AD19" s="30"/>
      <c r="AE19" s="503"/>
      <c r="AF19" s="30">
        <f t="shared" si="7"/>
        <v>0.013559073320443926</v>
      </c>
      <c r="AG19" s="497"/>
      <c r="AH19" s="494"/>
      <c r="AI19" s="500"/>
      <c r="AJ19" s="494"/>
      <c r="AK19" s="500"/>
      <c r="AL19" s="30"/>
      <c r="AM19" s="503"/>
      <c r="AN19" s="533">
        <f t="shared" si="8"/>
        <v>0.007567275832619463</v>
      </c>
      <c r="AO19" s="497"/>
      <c r="AP19" s="494"/>
      <c r="AQ19" s="500"/>
      <c r="AR19" s="494"/>
      <c r="AS19" s="500"/>
      <c r="AT19" s="30"/>
      <c r="AU19" s="503"/>
      <c r="AV19" s="533">
        <f t="shared" si="9"/>
        <v>0.010622459800000745</v>
      </c>
      <c r="AW19" s="497"/>
      <c r="AX19" s="494"/>
      <c r="AY19" s="500"/>
      <c r="AZ19" s="494"/>
      <c r="BA19" s="500"/>
      <c r="BB19" s="30"/>
      <c r="BC19" s="503"/>
      <c r="BD19" s="390">
        <f t="shared" si="10"/>
        <v>0.016498411694648284</v>
      </c>
      <c r="BF19" s="542">
        <f t="shared" si="0"/>
        <v>0.024938012540020295</v>
      </c>
      <c r="BG19" s="543">
        <f t="shared" si="1"/>
        <v>77199.25876746366</v>
      </c>
    </row>
    <row r="20" spans="1:59" s="336" customFormat="1" ht="11.25" customHeight="1">
      <c r="A20" s="422">
        <v>23000</v>
      </c>
      <c r="B20" s="423" t="s">
        <v>91</v>
      </c>
      <c r="C20" s="389"/>
      <c r="D20" s="457">
        <f t="shared" si="2"/>
        <v>0.03336463002532723</v>
      </c>
      <c r="E20" s="31"/>
      <c r="F20" s="457">
        <f t="shared" si="3"/>
        <v>0.062164885177936564</v>
      </c>
      <c r="G20" s="30"/>
      <c r="H20" s="457">
        <f t="shared" si="4"/>
        <v>0.03978354396801979</v>
      </c>
      <c r="J20" s="433">
        <f t="shared" si="5"/>
        <v>0.023854379241099184</v>
      </c>
      <c r="K20" s="30"/>
      <c r="L20" s="482"/>
      <c r="M20" s="483"/>
      <c r="N20" s="483"/>
      <c r="O20" s="457">
        <f t="shared" si="6"/>
        <v>0.03739430525386205</v>
      </c>
      <c r="P20" s="497"/>
      <c r="Q20" s="494"/>
      <c r="R20" s="500"/>
      <c r="S20" s="494"/>
      <c r="T20" s="500"/>
      <c r="U20" s="30"/>
      <c r="V20" s="503"/>
      <c r="W20" s="390">
        <f>W48</f>
        <v>0.05159351227919756</v>
      </c>
      <c r="Y20" s="535"/>
      <c r="Z20" s="494"/>
      <c r="AA20" s="500"/>
      <c r="AB20" s="494"/>
      <c r="AC20" s="500"/>
      <c r="AD20" s="30"/>
      <c r="AE20" s="503"/>
      <c r="AF20" s="30">
        <f t="shared" si="7"/>
        <v>0.014635350911680473</v>
      </c>
      <c r="AG20" s="497"/>
      <c r="AH20" s="494"/>
      <c r="AI20" s="500"/>
      <c r="AJ20" s="494"/>
      <c r="AK20" s="500"/>
      <c r="AL20" s="30"/>
      <c r="AM20" s="503"/>
      <c r="AN20" s="533">
        <f t="shared" si="8"/>
        <v>0</v>
      </c>
      <c r="AO20" s="497"/>
      <c r="AP20" s="494"/>
      <c r="AQ20" s="500"/>
      <c r="AR20" s="494"/>
      <c r="AS20" s="500"/>
      <c r="AT20" s="30"/>
      <c r="AU20" s="503"/>
      <c r="AV20" s="533">
        <f t="shared" si="9"/>
        <v>0.03910508532214857</v>
      </c>
      <c r="AW20" s="497"/>
      <c r="AX20" s="494"/>
      <c r="AY20" s="500"/>
      <c r="AZ20" s="494"/>
      <c r="BA20" s="500"/>
      <c r="BB20" s="30"/>
      <c r="BC20" s="503"/>
      <c r="BD20" s="390">
        <f t="shared" si="10"/>
        <v>0.018849446077859162</v>
      </c>
      <c r="BF20" s="542">
        <f t="shared" si="0"/>
        <v>0.03746296372773468</v>
      </c>
      <c r="BG20" s="543">
        <f t="shared" si="1"/>
        <v>115972.07381190696</v>
      </c>
    </row>
    <row r="21" spans="1:59" s="336" customFormat="1" ht="11.25" customHeight="1">
      <c r="A21" s="422">
        <v>24000</v>
      </c>
      <c r="B21" s="423" t="s">
        <v>92</v>
      </c>
      <c r="C21" s="389"/>
      <c r="D21" s="457">
        <f t="shared" si="2"/>
        <v>0.01461668800626864</v>
      </c>
      <c r="E21" s="31"/>
      <c r="F21" s="457">
        <f t="shared" si="3"/>
        <v>0.02707940074038903</v>
      </c>
      <c r="G21" s="30"/>
      <c r="H21" s="457">
        <f t="shared" si="4"/>
        <v>0.031088068589446828</v>
      </c>
      <c r="J21" s="433">
        <f t="shared" si="5"/>
        <v>0.030795745282845947</v>
      </c>
      <c r="K21" s="30"/>
      <c r="L21" s="482"/>
      <c r="M21" s="483"/>
      <c r="N21" s="483"/>
      <c r="O21" s="457">
        <f t="shared" si="6"/>
        <v>0.02789301823868314</v>
      </c>
      <c r="P21" s="497"/>
      <c r="Q21" s="494"/>
      <c r="R21" s="500"/>
      <c r="S21" s="494"/>
      <c r="T21" s="500"/>
      <c r="U21" s="30"/>
      <c r="V21" s="503"/>
      <c r="W21" s="390">
        <f>W49</f>
        <v>0.025266761707200217</v>
      </c>
      <c r="Y21" s="535"/>
      <c r="Z21" s="494"/>
      <c r="AA21" s="500"/>
      <c r="AB21" s="494"/>
      <c r="AC21" s="500"/>
      <c r="AD21" s="30"/>
      <c r="AE21" s="503"/>
      <c r="AF21" s="30">
        <f t="shared" si="7"/>
        <v>0.018917035455643685</v>
      </c>
      <c r="AG21" s="497"/>
      <c r="AH21" s="494"/>
      <c r="AI21" s="500"/>
      <c r="AJ21" s="494"/>
      <c r="AK21" s="500"/>
      <c r="AL21" s="30"/>
      <c r="AM21" s="503"/>
      <c r="AN21" s="533">
        <f t="shared" si="8"/>
        <v>0.0018677705232342915</v>
      </c>
      <c r="AO21" s="497"/>
      <c r="AP21" s="494"/>
      <c r="AQ21" s="500"/>
      <c r="AR21" s="494"/>
      <c r="AS21" s="500"/>
      <c r="AT21" s="30"/>
      <c r="AU21" s="503"/>
      <c r="AV21" s="533">
        <f t="shared" si="9"/>
        <v>0.026839738853540174</v>
      </c>
      <c r="AW21" s="497"/>
      <c r="AX21" s="494"/>
      <c r="AY21" s="500"/>
      <c r="AZ21" s="494"/>
      <c r="BA21" s="500"/>
      <c r="BB21" s="30"/>
      <c r="BC21" s="503"/>
      <c r="BD21" s="390">
        <f t="shared" si="10"/>
        <v>0.01345425443229394</v>
      </c>
      <c r="BF21" s="542">
        <f t="shared" si="0"/>
        <v>0.020731252383710434</v>
      </c>
      <c r="BG21" s="543">
        <f t="shared" si="1"/>
        <v>64176.61851662367</v>
      </c>
    </row>
    <row r="22" spans="1:59" s="336" customFormat="1" ht="11.25" customHeight="1">
      <c r="A22" s="422">
        <v>25000</v>
      </c>
      <c r="B22" s="423" t="s">
        <v>93</v>
      </c>
      <c r="C22" s="389"/>
      <c r="D22" s="457">
        <f t="shared" si="2"/>
        <v>0.030706362045601208</v>
      </c>
      <c r="E22" s="31"/>
      <c r="F22" s="457">
        <f t="shared" si="3"/>
        <v>0</v>
      </c>
      <c r="G22" s="30"/>
      <c r="H22" s="457">
        <f t="shared" si="4"/>
        <v>0.015843192030168454</v>
      </c>
      <c r="J22" s="433">
        <f t="shared" si="5"/>
        <v>0.01563491761984061</v>
      </c>
      <c r="K22" s="30"/>
      <c r="L22" s="482"/>
      <c r="M22" s="483"/>
      <c r="N22" s="483"/>
      <c r="O22" s="457">
        <f t="shared" si="6"/>
        <v>0.028275280834195088</v>
      </c>
      <c r="P22" s="497"/>
      <c r="Q22" s="494"/>
      <c r="R22" s="500"/>
      <c r="S22" s="494"/>
      <c r="T22" s="500"/>
      <c r="U22" s="30"/>
      <c r="V22" s="503"/>
      <c r="W22" s="390">
        <f>W50</f>
        <v>0.02829428988366825</v>
      </c>
      <c r="Y22" s="535"/>
      <c r="Z22" s="494"/>
      <c r="AA22" s="500"/>
      <c r="AB22" s="494"/>
      <c r="AC22" s="500"/>
      <c r="AD22" s="30"/>
      <c r="AE22" s="503"/>
      <c r="AF22" s="30">
        <f t="shared" si="7"/>
        <v>0.00816255266563487</v>
      </c>
      <c r="AG22" s="497"/>
      <c r="AH22" s="494"/>
      <c r="AI22" s="500"/>
      <c r="AJ22" s="494"/>
      <c r="AK22" s="500"/>
      <c r="AL22" s="30"/>
      <c r="AM22" s="503"/>
      <c r="AN22" s="533">
        <f t="shared" si="8"/>
        <v>0.00013491635186184566</v>
      </c>
      <c r="AO22" s="497"/>
      <c r="AP22" s="494"/>
      <c r="AQ22" s="500"/>
      <c r="AR22" s="494"/>
      <c r="AS22" s="500"/>
      <c r="AT22" s="30"/>
      <c r="AU22" s="503"/>
      <c r="AV22" s="533">
        <f t="shared" si="9"/>
        <v>0.02206318008932087</v>
      </c>
      <c r="AW22" s="497"/>
      <c r="AX22" s="494"/>
      <c r="AY22" s="500"/>
      <c r="AZ22" s="494"/>
      <c r="BA22" s="500"/>
      <c r="BB22" s="30"/>
      <c r="BC22" s="503"/>
      <c r="BD22" s="390">
        <f t="shared" si="10"/>
        <v>0.018911489608906033</v>
      </c>
      <c r="BF22" s="542">
        <f t="shared" si="0"/>
        <v>0.024552361799596047</v>
      </c>
      <c r="BG22" s="543">
        <f t="shared" si="1"/>
        <v>76005.4205954723</v>
      </c>
    </row>
    <row r="23" spans="1:59" s="336" customFormat="1" ht="11.25" customHeight="1">
      <c r="A23" s="422">
        <v>26000</v>
      </c>
      <c r="B23" s="423" t="s">
        <v>94</v>
      </c>
      <c r="C23" s="389"/>
      <c r="D23" s="457">
        <f t="shared" si="2"/>
        <v>0.08185267564836446</v>
      </c>
      <c r="E23" s="31"/>
      <c r="F23" s="457">
        <f t="shared" si="3"/>
        <v>0.0722014414038826</v>
      </c>
      <c r="G23" s="30"/>
      <c r="H23" s="457">
        <f t="shared" si="4"/>
        <v>0.0853360459979451</v>
      </c>
      <c r="J23" s="433">
        <f t="shared" si="5"/>
        <v>0.08584250631561502</v>
      </c>
      <c r="K23" s="30"/>
      <c r="L23" s="482"/>
      <c r="M23" s="483"/>
      <c r="N23" s="483"/>
      <c r="O23" s="457">
        <f t="shared" si="6"/>
        <v>0.06764608332653986</v>
      </c>
      <c r="P23" s="497"/>
      <c r="Q23" s="494"/>
      <c r="R23" s="500"/>
      <c r="S23" s="494"/>
      <c r="T23" s="500"/>
      <c r="U23" s="30"/>
      <c r="V23" s="503"/>
      <c r="W23" s="390">
        <f>W51</f>
        <v>0.06321196209426062</v>
      </c>
      <c r="Y23" s="535"/>
      <c r="Z23" s="494"/>
      <c r="AA23" s="500"/>
      <c r="AB23" s="494"/>
      <c r="AC23" s="500"/>
      <c r="AD23" s="30"/>
      <c r="AE23" s="503"/>
      <c r="AF23" s="30">
        <f t="shared" si="7"/>
        <v>0.0950696150524394</v>
      </c>
      <c r="AG23" s="497"/>
      <c r="AH23" s="494"/>
      <c r="AI23" s="500"/>
      <c r="AJ23" s="494"/>
      <c r="AK23" s="500"/>
      <c r="AL23" s="30"/>
      <c r="AM23" s="503"/>
      <c r="AN23" s="533">
        <f t="shared" si="8"/>
        <v>0.004982796445006641</v>
      </c>
      <c r="AO23" s="497"/>
      <c r="AP23" s="494"/>
      <c r="AQ23" s="500"/>
      <c r="AR23" s="494"/>
      <c r="AS23" s="500"/>
      <c r="AT23" s="30"/>
      <c r="AU23" s="503"/>
      <c r="AV23" s="533">
        <f t="shared" si="9"/>
        <v>0.07789799057041705</v>
      </c>
      <c r="AW23" s="497"/>
      <c r="AX23" s="494"/>
      <c r="AY23" s="500"/>
      <c r="AZ23" s="494"/>
      <c r="BA23" s="500"/>
      <c r="BB23" s="30"/>
      <c r="BC23" s="503"/>
      <c r="BD23" s="390">
        <f t="shared" si="10"/>
        <v>0.06698914679864676</v>
      </c>
      <c r="BF23" s="542">
        <f t="shared" si="0"/>
        <v>0.07162154679989269</v>
      </c>
      <c r="BG23" s="543">
        <f t="shared" si="1"/>
        <v>221714.9548649006</v>
      </c>
    </row>
    <row r="24" spans="1:59" s="336" customFormat="1" ht="11.25" customHeight="1">
      <c r="A24" s="422">
        <v>27000</v>
      </c>
      <c r="B24" s="423" t="s">
        <v>95</v>
      </c>
      <c r="C24" s="389"/>
      <c r="D24" s="457">
        <f t="shared" si="2"/>
        <v>0.022907375775942106</v>
      </c>
      <c r="E24" s="31"/>
      <c r="F24" s="457">
        <f t="shared" si="3"/>
        <v>0</v>
      </c>
      <c r="G24" s="30"/>
      <c r="H24" s="457">
        <f t="shared" si="4"/>
        <v>0.049597728335313084</v>
      </c>
      <c r="J24" s="433">
        <f t="shared" si="5"/>
        <v>0.046435161981866126</v>
      </c>
      <c r="K24" s="30"/>
      <c r="L24" s="482"/>
      <c r="M24" s="483"/>
      <c r="N24" s="483"/>
      <c r="O24" s="457">
        <f t="shared" si="6"/>
        <v>0.056475081729951485</v>
      </c>
      <c r="P24" s="497"/>
      <c r="Q24" s="494"/>
      <c r="R24" s="500"/>
      <c r="S24" s="494"/>
      <c r="T24" s="500"/>
      <c r="U24" s="30"/>
      <c r="V24" s="503"/>
      <c r="W24" s="390">
        <f>W52</f>
        <v>0.0533930382251107</v>
      </c>
      <c r="Y24" s="535"/>
      <c r="Z24" s="494"/>
      <c r="AA24" s="500"/>
      <c r="AB24" s="494"/>
      <c r="AC24" s="500"/>
      <c r="AD24" s="30"/>
      <c r="AE24" s="503"/>
      <c r="AF24" s="30">
        <f t="shared" si="7"/>
        <v>0.04391777654115085</v>
      </c>
      <c r="AG24" s="497"/>
      <c r="AH24" s="494"/>
      <c r="AI24" s="500"/>
      <c r="AJ24" s="494"/>
      <c r="AK24" s="500"/>
      <c r="AL24" s="30"/>
      <c r="AM24" s="503"/>
      <c r="AN24" s="533">
        <f t="shared" si="8"/>
        <v>0.009157049054150091</v>
      </c>
      <c r="AO24" s="497"/>
      <c r="AP24" s="494"/>
      <c r="AQ24" s="500"/>
      <c r="AR24" s="494"/>
      <c r="AS24" s="500"/>
      <c r="AT24" s="30"/>
      <c r="AU24" s="503"/>
      <c r="AV24" s="533">
        <f t="shared" si="9"/>
        <v>0.03326638455516088</v>
      </c>
      <c r="AW24" s="497"/>
      <c r="AX24" s="494"/>
      <c r="AY24" s="500"/>
      <c r="AZ24" s="494"/>
      <c r="BA24" s="500"/>
      <c r="BB24" s="30"/>
      <c r="BC24" s="503"/>
      <c r="BD24" s="390">
        <f t="shared" si="10"/>
        <v>0.03769166287574292</v>
      </c>
      <c r="BF24" s="542">
        <f t="shared" si="0"/>
        <v>0.037758528465054064</v>
      </c>
      <c r="BG24" s="543">
        <f t="shared" si="1"/>
        <v>116887.03760873075</v>
      </c>
    </row>
    <row r="25" spans="1:59" s="336" customFormat="1" ht="11.25" customHeight="1">
      <c r="A25" s="422">
        <v>28000</v>
      </c>
      <c r="B25" s="423" t="s">
        <v>96</v>
      </c>
      <c r="C25" s="389"/>
      <c r="D25" s="457">
        <f t="shared" si="2"/>
        <v>0.010664940118047092</v>
      </c>
      <c r="E25" s="31"/>
      <c r="F25" s="457">
        <f t="shared" si="3"/>
        <v>0.04194508459658834</v>
      </c>
      <c r="G25" s="30"/>
      <c r="H25" s="457">
        <f t="shared" si="4"/>
        <v>0.007418260060267225</v>
      </c>
      <c r="J25" s="433">
        <f t="shared" si="5"/>
        <v>0.01103795155001992</v>
      </c>
      <c r="K25" s="30"/>
      <c r="L25" s="482"/>
      <c r="M25" s="483"/>
      <c r="N25" s="483"/>
      <c r="O25" s="457">
        <f t="shared" si="6"/>
        <v>0.022414545472423983</v>
      </c>
      <c r="P25" s="497"/>
      <c r="Q25" s="494"/>
      <c r="R25" s="500"/>
      <c r="S25" s="494"/>
      <c r="T25" s="500"/>
      <c r="U25" s="30"/>
      <c r="V25" s="503"/>
      <c r="W25" s="390">
        <f>W53</f>
        <v>0.04872108269741999</v>
      </c>
      <c r="Y25" s="535"/>
      <c r="Z25" s="494"/>
      <c r="AA25" s="500"/>
      <c r="AB25" s="494"/>
      <c r="AC25" s="500"/>
      <c r="AD25" s="30"/>
      <c r="AE25" s="503"/>
      <c r="AF25" s="30">
        <f t="shared" si="7"/>
        <v>0.02677470936915611</v>
      </c>
      <c r="AG25" s="497"/>
      <c r="AH25" s="494"/>
      <c r="AI25" s="500"/>
      <c r="AJ25" s="494"/>
      <c r="AK25" s="500"/>
      <c r="AL25" s="30"/>
      <c r="AM25" s="503"/>
      <c r="AN25" s="533">
        <f t="shared" si="8"/>
        <v>0.016732086203770983</v>
      </c>
      <c r="AO25" s="497"/>
      <c r="AP25" s="494"/>
      <c r="AQ25" s="500"/>
      <c r="AR25" s="494"/>
      <c r="AS25" s="500"/>
      <c r="AT25" s="30"/>
      <c r="AU25" s="503"/>
      <c r="AV25" s="533">
        <f t="shared" si="9"/>
        <v>0.024865409352241873</v>
      </c>
      <c r="AW25" s="497"/>
      <c r="AX25" s="494"/>
      <c r="AY25" s="500"/>
      <c r="AZ25" s="494"/>
      <c r="BA25" s="500"/>
      <c r="BB25" s="30"/>
      <c r="BC25" s="503"/>
      <c r="BD25" s="390">
        <f t="shared" si="10"/>
        <v>0.010972915224865067</v>
      </c>
      <c r="BF25" s="542">
        <f t="shared" si="0"/>
        <v>0.02555865529184465</v>
      </c>
      <c r="BG25" s="543">
        <f t="shared" si="1"/>
        <v>79120.54901957772</v>
      </c>
    </row>
    <row r="26" spans="1:59" s="336" customFormat="1" ht="11.25" customHeight="1">
      <c r="A26" s="422">
        <v>31000</v>
      </c>
      <c r="B26" s="423" t="s">
        <v>97</v>
      </c>
      <c r="C26" s="389"/>
      <c r="D26" s="457">
        <f t="shared" si="2"/>
        <v>0.013279570564738625</v>
      </c>
      <c r="E26" s="31"/>
      <c r="F26" s="457">
        <f t="shared" si="3"/>
        <v>0</v>
      </c>
      <c r="G26" s="30"/>
      <c r="H26" s="457">
        <f t="shared" si="4"/>
        <v>0.014376927519537803</v>
      </c>
      <c r="J26" s="433">
        <f t="shared" si="5"/>
        <v>0.04388169611361212</v>
      </c>
      <c r="K26" s="30"/>
      <c r="L26" s="482"/>
      <c r="M26" s="483"/>
      <c r="N26" s="483"/>
      <c r="O26" s="457">
        <f t="shared" si="6"/>
        <v>0.03822752506678515</v>
      </c>
      <c r="P26" s="497"/>
      <c r="Q26" s="494"/>
      <c r="R26" s="500"/>
      <c r="S26" s="494"/>
      <c r="T26" s="500"/>
      <c r="U26" s="30"/>
      <c r="V26" s="503"/>
      <c r="W26" s="390">
        <f>W54</f>
        <v>0.03767267221505806</v>
      </c>
      <c r="Y26" s="535"/>
      <c r="Z26" s="494"/>
      <c r="AA26" s="500"/>
      <c r="AB26" s="494"/>
      <c r="AC26" s="500"/>
      <c r="AD26" s="30"/>
      <c r="AE26" s="503"/>
      <c r="AF26" s="30">
        <f t="shared" si="7"/>
        <v>0.11907230784014278</v>
      </c>
      <c r="AG26" s="497"/>
      <c r="AH26" s="494"/>
      <c r="AI26" s="500"/>
      <c r="AJ26" s="494"/>
      <c r="AK26" s="500"/>
      <c r="AL26" s="30"/>
      <c r="AM26" s="503"/>
      <c r="AN26" s="533">
        <f t="shared" si="8"/>
        <v>0.004436302425010319</v>
      </c>
      <c r="AO26" s="497"/>
      <c r="AP26" s="494"/>
      <c r="AQ26" s="500"/>
      <c r="AR26" s="494"/>
      <c r="AS26" s="500"/>
      <c r="AT26" s="30"/>
      <c r="AU26" s="503"/>
      <c r="AV26" s="533">
        <f t="shared" si="9"/>
        <v>0.05943375066969879</v>
      </c>
      <c r="AW26" s="497"/>
      <c r="AX26" s="494"/>
      <c r="AY26" s="500"/>
      <c r="AZ26" s="494"/>
      <c r="BA26" s="500"/>
      <c r="BB26" s="30"/>
      <c r="BC26" s="503"/>
      <c r="BD26" s="390">
        <f t="shared" si="10"/>
        <v>0.058517489587192086</v>
      </c>
      <c r="BF26" s="542">
        <f t="shared" si="0"/>
        <v>0.034235188702819115</v>
      </c>
      <c r="BG26" s="543">
        <f t="shared" si="1"/>
        <v>105980.02496712719</v>
      </c>
    </row>
    <row r="27" spans="1:59" s="336" customFormat="1" ht="11.25" customHeight="1">
      <c r="A27" s="422">
        <v>41000</v>
      </c>
      <c r="B27" s="423" t="s">
        <v>98</v>
      </c>
      <c r="C27" s="389"/>
      <c r="D27" s="457">
        <f t="shared" si="2"/>
        <v>0.01881359022062055</v>
      </c>
      <c r="E27" s="31"/>
      <c r="F27" s="457">
        <f t="shared" si="3"/>
        <v>0</v>
      </c>
      <c r="G27" s="30"/>
      <c r="H27" s="457">
        <f t="shared" si="4"/>
        <v>0.022920652441469184</v>
      </c>
      <c r="J27" s="433">
        <f t="shared" si="5"/>
        <v>0.02807505678677948</v>
      </c>
      <c r="K27" s="30"/>
      <c r="L27" s="482"/>
      <c r="M27" s="483"/>
      <c r="N27" s="483"/>
      <c r="O27" s="457">
        <f t="shared" si="6"/>
        <v>0.030073984828168743</v>
      </c>
      <c r="P27" s="497"/>
      <c r="Q27" s="494"/>
      <c r="R27" s="500"/>
      <c r="S27" s="494"/>
      <c r="T27" s="500"/>
      <c r="U27" s="30"/>
      <c r="V27" s="503"/>
      <c r="W27" s="390">
        <f>W55</f>
        <v>0.060006313127393865</v>
      </c>
      <c r="Y27" s="535"/>
      <c r="Z27" s="494"/>
      <c r="AA27" s="500"/>
      <c r="AB27" s="494"/>
      <c r="AC27" s="500"/>
      <c r="AD27" s="30"/>
      <c r="AE27" s="503"/>
      <c r="AF27" s="30">
        <f t="shared" si="7"/>
        <v>0.03109081925896386</v>
      </c>
      <c r="AG27" s="497"/>
      <c r="AH27" s="494"/>
      <c r="AI27" s="500"/>
      <c r="AJ27" s="494"/>
      <c r="AK27" s="500"/>
      <c r="AL27" s="30"/>
      <c r="AM27" s="503"/>
      <c r="AN27" s="533">
        <f t="shared" si="8"/>
        <v>0.006312046691163008</v>
      </c>
      <c r="AO27" s="497"/>
      <c r="AP27" s="494"/>
      <c r="AQ27" s="500"/>
      <c r="AR27" s="494"/>
      <c r="AS27" s="500"/>
      <c r="AT27" s="30"/>
      <c r="AU27" s="503"/>
      <c r="AV27" s="533">
        <f t="shared" si="9"/>
        <v>0.0542245009044056</v>
      </c>
      <c r="AW27" s="497"/>
      <c r="AX27" s="494"/>
      <c r="AY27" s="500"/>
      <c r="AZ27" s="494"/>
      <c r="BA27" s="500"/>
      <c r="BB27" s="30"/>
      <c r="BC27" s="503"/>
      <c r="BD27" s="390">
        <f t="shared" si="10"/>
        <v>0.05404600165326564</v>
      </c>
      <c r="BF27" s="542">
        <f t="shared" si="0"/>
        <v>0.040025099224906074</v>
      </c>
      <c r="BG27" s="543">
        <f t="shared" si="1"/>
        <v>123903.53831518358</v>
      </c>
    </row>
    <row r="28" spans="1:59" s="336" customFormat="1" ht="11.25" customHeight="1">
      <c r="A28" s="422">
        <v>43000</v>
      </c>
      <c r="B28" s="423" t="s">
        <v>99</v>
      </c>
      <c r="C28" s="389"/>
      <c r="D28" s="457">
        <f t="shared" si="2"/>
        <v>0.018670007496309246</v>
      </c>
      <c r="E28" s="31"/>
      <c r="F28" s="457">
        <f t="shared" si="3"/>
        <v>0</v>
      </c>
      <c r="G28" s="30"/>
      <c r="H28" s="457">
        <f t="shared" si="4"/>
        <v>0.03139604131653334</v>
      </c>
      <c r="J28" s="433">
        <f t="shared" si="5"/>
        <v>0.03050776011355668</v>
      </c>
      <c r="K28" s="30"/>
      <c r="L28" s="482"/>
      <c r="M28" s="483"/>
      <c r="N28" s="483"/>
      <c r="O28" s="457">
        <f t="shared" si="6"/>
        <v>0.029813087286434788</v>
      </c>
      <c r="P28" s="497"/>
      <c r="Q28" s="494"/>
      <c r="R28" s="500"/>
      <c r="S28" s="494"/>
      <c r="T28" s="500"/>
      <c r="U28" s="30"/>
      <c r="V28" s="503"/>
      <c r="W28" s="390">
        <f>W56</f>
        <v>0.037189367262301855</v>
      </c>
      <c r="Y28" s="535"/>
      <c r="Z28" s="494"/>
      <c r="AA28" s="500"/>
      <c r="AB28" s="494"/>
      <c r="AC28" s="500"/>
      <c r="AD28" s="30"/>
      <c r="AE28" s="503"/>
      <c r="AF28" s="30">
        <f t="shared" si="7"/>
        <v>0.019679096916904282</v>
      </c>
      <c r="AG28" s="497"/>
      <c r="AH28" s="494"/>
      <c r="AI28" s="500"/>
      <c r="AJ28" s="494"/>
      <c r="AK28" s="500"/>
      <c r="AL28" s="30"/>
      <c r="AM28" s="503"/>
      <c r="AN28" s="533">
        <f t="shared" si="8"/>
        <v>0.010908872522082952</v>
      </c>
      <c r="AO28" s="497"/>
      <c r="AP28" s="494"/>
      <c r="AQ28" s="500"/>
      <c r="AR28" s="494"/>
      <c r="AS28" s="500"/>
      <c r="AT28" s="30"/>
      <c r="AU28" s="503"/>
      <c r="AV28" s="533">
        <f t="shared" si="9"/>
        <v>0.027831031124484252</v>
      </c>
      <c r="AW28" s="497"/>
      <c r="AX28" s="494"/>
      <c r="AY28" s="500"/>
      <c r="AZ28" s="494"/>
      <c r="BA28" s="500"/>
      <c r="BB28" s="30"/>
      <c r="BC28" s="503"/>
      <c r="BD28" s="390">
        <f t="shared" si="10"/>
        <v>0.020291342130192347</v>
      </c>
      <c r="BF28" s="542">
        <f t="shared" si="0"/>
        <v>0.026466515507332266</v>
      </c>
      <c r="BG28" s="543">
        <f t="shared" si="1"/>
        <v>81930.9628642111</v>
      </c>
    </row>
    <row r="29" spans="1:59" s="336" customFormat="1" ht="11.25" customHeight="1">
      <c r="A29" s="422">
        <v>51000</v>
      </c>
      <c r="B29" s="423" t="s">
        <v>100</v>
      </c>
      <c r="C29" s="389"/>
      <c r="D29" s="457">
        <f t="shared" si="2"/>
        <v>0.002766853682031714</v>
      </c>
      <c r="E29" s="31"/>
      <c r="F29" s="457">
        <f t="shared" si="3"/>
        <v>0.2365963721709457</v>
      </c>
      <c r="G29" s="341"/>
      <c r="H29" s="457">
        <f t="shared" si="4"/>
        <v>0.00663223516297323</v>
      </c>
      <c r="J29" s="433">
        <f t="shared" si="5"/>
        <v>0.0029107546813866665</v>
      </c>
      <c r="K29" s="30"/>
      <c r="L29" s="482"/>
      <c r="M29" s="483"/>
      <c r="N29" s="483"/>
      <c r="O29" s="457">
        <f t="shared" si="6"/>
        <v>0.02491583248370688</v>
      </c>
      <c r="P29" s="497"/>
      <c r="Q29" s="494"/>
      <c r="R29" s="500"/>
      <c r="S29" s="494"/>
      <c r="T29" s="500"/>
      <c r="U29" s="30"/>
      <c r="V29" s="503"/>
      <c r="W29" s="390">
        <f>W57</f>
        <v>0.015849674023216246</v>
      </c>
      <c r="Y29" s="535"/>
      <c r="Z29" s="494"/>
      <c r="AA29" s="500"/>
      <c r="AB29" s="494"/>
      <c r="AC29" s="500"/>
      <c r="AD29" s="30"/>
      <c r="AE29" s="503"/>
      <c r="AF29" s="30">
        <f t="shared" si="7"/>
        <v>0.006555439980208179</v>
      </c>
      <c r="AG29" s="497"/>
      <c r="AH29" s="494"/>
      <c r="AI29" s="500"/>
      <c r="AJ29" s="494"/>
      <c r="AK29" s="500"/>
      <c r="AL29" s="30"/>
      <c r="AM29" s="503"/>
      <c r="AN29" s="533">
        <f t="shared" si="8"/>
        <v>0.010250810813795246</v>
      </c>
      <c r="AO29" s="497"/>
      <c r="AP29" s="494"/>
      <c r="AQ29" s="500"/>
      <c r="AR29" s="494"/>
      <c r="AS29" s="500"/>
      <c r="AT29" s="30"/>
      <c r="AU29" s="503"/>
      <c r="AV29" s="533">
        <f t="shared" si="9"/>
        <v>0.01178857023326183</v>
      </c>
      <c r="AW29" s="497"/>
      <c r="AX29" s="494"/>
      <c r="AY29" s="500"/>
      <c r="AZ29" s="494"/>
      <c r="BA29" s="500"/>
      <c r="BB29" s="30"/>
      <c r="BC29" s="503"/>
      <c r="BD29" s="390">
        <f t="shared" si="10"/>
        <v>0.020223054698287612</v>
      </c>
      <c r="BF29" s="542">
        <f t="shared" si="0"/>
        <v>0.014781885057923428</v>
      </c>
      <c r="BG29" s="543">
        <f t="shared" si="1"/>
        <v>45759.48335202043</v>
      </c>
    </row>
    <row r="30" spans="1:59" s="336" customFormat="1" ht="11.25" customHeight="1">
      <c r="A30" s="422">
        <v>52000</v>
      </c>
      <c r="B30" s="423" t="s">
        <v>101</v>
      </c>
      <c r="C30" s="389"/>
      <c r="D30" s="457">
        <f t="shared" si="2"/>
        <v>0.00016624684378681626</v>
      </c>
      <c r="E30" s="31"/>
      <c r="F30" s="457">
        <f t="shared" si="3"/>
        <v>0.109545150992268</v>
      </c>
      <c r="G30" s="341"/>
      <c r="H30" s="457">
        <f t="shared" si="4"/>
        <v>0.0012887358357864035</v>
      </c>
      <c r="J30" s="433">
        <f t="shared" si="5"/>
        <v>0.0006818286367515908</v>
      </c>
      <c r="K30" s="30"/>
      <c r="L30" s="482"/>
      <c r="M30" s="483"/>
      <c r="N30" s="483"/>
      <c r="O30" s="457">
        <f t="shared" si="6"/>
        <v>0.0043450154870761995</v>
      </c>
      <c r="P30" s="497"/>
      <c r="Q30" s="494"/>
      <c r="R30" s="500"/>
      <c r="S30" s="494"/>
      <c r="T30" s="500"/>
      <c r="U30" s="30"/>
      <c r="V30" s="503"/>
      <c r="W30" s="390">
        <f>W58</f>
        <v>0.003319099861658256</v>
      </c>
      <c r="Y30" s="535"/>
      <c r="Z30" s="494"/>
      <c r="AA30" s="500"/>
      <c r="AB30" s="494"/>
      <c r="AC30" s="500"/>
      <c r="AD30" s="30"/>
      <c r="AE30" s="503"/>
      <c r="AF30" s="30">
        <f t="shared" si="7"/>
        <v>0.0010631251255124358</v>
      </c>
      <c r="AG30" s="497"/>
      <c r="AH30" s="494"/>
      <c r="AI30" s="500"/>
      <c r="AJ30" s="494"/>
      <c r="AK30" s="500"/>
      <c r="AL30" s="30"/>
      <c r="AM30" s="503"/>
      <c r="AN30" s="533">
        <f t="shared" si="8"/>
        <v>0</v>
      </c>
      <c r="AO30" s="497"/>
      <c r="AP30" s="494"/>
      <c r="AQ30" s="500"/>
      <c r="AR30" s="494"/>
      <c r="AS30" s="500"/>
      <c r="AT30" s="30"/>
      <c r="AU30" s="503"/>
      <c r="AV30" s="533">
        <f t="shared" si="9"/>
        <v>0.003649553886505874</v>
      </c>
      <c r="AW30" s="497"/>
      <c r="AX30" s="494"/>
      <c r="AY30" s="500"/>
      <c r="AZ30" s="494"/>
      <c r="BA30" s="500"/>
      <c r="BB30" s="30"/>
      <c r="BC30" s="503"/>
      <c r="BD30" s="390">
        <f t="shared" si="10"/>
        <v>0.0038129976755542387</v>
      </c>
      <c r="BF30" s="542">
        <f t="shared" si="0"/>
        <v>0.0039870249827989885</v>
      </c>
      <c r="BG30" s="543">
        <f t="shared" si="1"/>
        <v>12342.417939901758</v>
      </c>
    </row>
    <row r="31" spans="1:59" s="336" customFormat="1" ht="11.25" customHeight="1">
      <c r="A31" s="422">
        <v>53000</v>
      </c>
      <c r="B31" s="423" t="s">
        <v>102</v>
      </c>
      <c r="C31" s="389"/>
      <c r="D31" s="457">
        <f t="shared" si="2"/>
        <v>0.0006536038135024679</v>
      </c>
      <c r="E31" s="31"/>
      <c r="F31" s="457">
        <f t="shared" si="3"/>
        <v>0.12139600776675043</v>
      </c>
      <c r="G31" s="341"/>
      <c r="H31" s="457">
        <f t="shared" si="4"/>
        <v>0.00045746968521215655</v>
      </c>
      <c r="J31" s="433">
        <f t="shared" si="5"/>
        <v>0.0022108261890035285</v>
      </c>
      <c r="K31" s="30"/>
      <c r="L31" s="482"/>
      <c r="M31" s="483"/>
      <c r="N31" s="483"/>
      <c r="O31" s="457">
        <f t="shared" si="6"/>
        <v>0.0031653035608201255</v>
      </c>
      <c r="P31" s="497"/>
      <c r="Q31" s="494"/>
      <c r="R31" s="500"/>
      <c r="S31" s="494"/>
      <c r="T31" s="500"/>
      <c r="U31" s="30"/>
      <c r="V31" s="503"/>
      <c r="W31" s="390">
        <f>W59</f>
        <v>0.004239633133550595</v>
      </c>
      <c r="Y31" s="535"/>
      <c r="Z31" s="494"/>
      <c r="AA31" s="500"/>
      <c r="AB31" s="494"/>
      <c r="AC31" s="500"/>
      <c r="AD31" s="30"/>
      <c r="AE31" s="503"/>
      <c r="AF31" s="30">
        <f t="shared" si="7"/>
        <v>0.0016841097453889758</v>
      </c>
      <c r="AG31" s="497"/>
      <c r="AH31" s="494"/>
      <c r="AI31" s="500"/>
      <c r="AJ31" s="494"/>
      <c r="AK31" s="500"/>
      <c r="AL31" s="30"/>
      <c r="AM31" s="503"/>
      <c r="AN31" s="533">
        <f t="shared" si="8"/>
        <v>0.0029732809573615646</v>
      </c>
      <c r="AO31" s="497"/>
      <c r="AP31" s="494"/>
      <c r="AQ31" s="500"/>
      <c r="AR31" s="494"/>
      <c r="AS31" s="500"/>
      <c r="AT31" s="30"/>
      <c r="AU31" s="503"/>
      <c r="AV31" s="533">
        <f t="shared" si="9"/>
        <v>0.007873592599230704</v>
      </c>
      <c r="AW31" s="497"/>
      <c r="AX31" s="494"/>
      <c r="AY31" s="500"/>
      <c r="AZ31" s="494"/>
      <c r="BA31" s="500"/>
      <c r="BB31" s="30"/>
      <c r="BC31" s="503"/>
      <c r="BD31" s="390">
        <f t="shared" si="10"/>
        <v>0.00769142184901323</v>
      </c>
      <c r="BF31" s="542">
        <f t="shared" si="0"/>
        <v>0.005599457206209745</v>
      </c>
      <c r="BG31" s="543">
        <f t="shared" si="1"/>
        <v>17333.937302574373</v>
      </c>
    </row>
    <row r="32" spans="1:59" s="336" customFormat="1" ht="11.25" customHeight="1">
      <c r="A32" s="422">
        <v>54000</v>
      </c>
      <c r="B32" s="423" t="s">
        <v>103</v>
      </c>
      <c r="C32" s="389"/>
      <c r="D32" s="457">
        <f t="shared" si="2"/>
        <v>0.0008510168559161327</v>
      </c>
      <c r="E32" s="31"/>
      <c r="F32" s="457">
        <f t="shared" si="3"/>
        <v>0.1865023759616758</v>
      </c>
      <c r="G32" s="341"/>
      <c r="H32" s="457">
        <f t="shared" si="4"/>
        <v>0.00047380699843517114</v>
      </c>
      <c r="J32" s="433">
        <f t="shared" si="5"/>
        <v>0.0018453886105349918</v>
      </c>
      <c r="K32" s="30"/>
      <c r="L32" s="482"/>
      <c r="M32" s="483"/>
      <c r="N32" s="483"/>
      <c r="O32" s="457">
        <f t="shared" si="6"/>
        <v>0.010690504000080566</v>
      </c>
      <c r="P32" s="497"/>
      <c r="Q32" s="494"/>
      <c r="R32" s="500"/>
      <c r="S32" s="494"/>
      <c r="T32" s="500"/>
      <c r="U32" s="30"/>
      <c r="V32" s="503"/>
      <c r="W32" s="390">
        <f>W60</f>
        <v>0.00983682470681385</v>
      </c>
      <c r="Y32" s="535"/>
      <c r="Z32" s="494"/>
      <c r="AA32" s="500"/>
      <c r="AB32" s="494"/>
      <c r="AC32" s="500"/>
      <c r="AD32" s="30"/>
      <c r="AE32" s="503"/>
      <c r="AF32" s="30">
        <f t="shared" si="7"/>
        <v>0.0040657073052234784</v>
      </c>
      <c r="AG32" s="497"/>
      <c r="AH32" s="494"/>
      <c r="AI32" s="500"/>
      <c r="AJ32" s="494"/>
      <c r="AK32" s="500"/>
      <c r="AL32" s="30"/>
      <c r="AM32" s="503"/>
      <c r="AN32" s="533">
        <f t="shared" si="8"/>
        <v>0.0005732565038197651</v>
      </c>
      <c r="AO32" s="497"/>
      <c r="AP32" s="494"/>
      <c r="AQ32" s="500"/>
      <c r="AR32" s="494"/>
      <c r="AS32" s="500"/>
      <c r="AT32" s="30"/>
      <c r="AU32" s="503"/>
      <c r="AV32" s="533">
        <f t="shared" si="9"/>
        <v>0.007311432347315991</v>
      </c>
      <c r="AW32" s="497"/>
      <c r="AX32" s="494"/>
      <c r="AY32" s="500"/>
      <c r="AZ32" s="494"/>
      <c r="BA32" s="500"/>
      <c r="BB32" s="30"/>
      <c r="BC32" s="503"/>
      <c r="BD32" s="390">
        <f t="shared" si="10"/>
        <v>0.0027570547176830754</v>
      </c>
      <c r="BF32" s="542">
        <f t="shared" si="0"/>
        <v>0.008066579742920727</v>
      </c>
      <c r="BG32" s="543">
        <f t="shared" si="1"/>
        <v>24971.275314853578</v>
      </c>
    </row>
    <row r="33" spans="1:59" s="336" customFormat="1" ht="11.25" customHeight="1">
      <c r="A33" s="422">
        <v>55000</v>
      </c>
      <c r="B33" s="423" t="s">
        <v>104</v>
      </c>
      <c r="C33" s="391"/>
      <c r="D33" s="457">
        <f t="shared" si="2"/>
        <v>0</v>
      </c>
      <c r="E33" s="31"/>
      <c r="F33" s="457">
        <f t="shared" si="3"/>
        <v>0</v>
      </c>
      <c r="G33" s="30"/>
      <c r="H33" s="457">
        <f t="shared" si="4"/>
        <v>7.080059930372472E-05</v>
      </c>
      <c r="J33" s="433">
        <f t="shared" si="5"/>
        <v>0.00281850357405748</v>
      </c>
      <c r="K33" s="30"/>
      <c r="L33" s="482"/>
      <c r="M33" s="483"/>
      <c r="N33" s="483"/>
      <c r="O33" s="457">
        <f t="shared" si="6"/>
        <v>0.0023496409599107287</v>
      </c>
      <c r="P33" s="497"/>
      <c r="Q33" s="494"/>
      <c r="R33" s="500"/>
      <c r="S33" s="494"/>
      <c r="T33" s="500"/>
      <c r="U33" s="30"/>
      <c r="V33" s="503"/>
      <c r="W33" s="390">
        <f>W61</f>
        <v>0.004828968206455831</v>
      </c>
      <c r="Y33" s="535"/>
      <c r="Z33" s="494"/>
      <c r="AA33" s="500"/>
      <c r="AB33" s="494"/>
      <c r="AC33" s="500"/>
      <c r="AD33" s="30"/>
      <c r="AE33" s="503"/>
      <c r="AF33" s="30">
        <f t="shared" si="7"/>
        <v>0.001511549263628289</v>
      </c>
      <c r="AG33" s="497"/>
      <c r="AH33" s="494"/>
      <c r="AI33" s="500"/>
      <c r="AJ33" s="494"/>
      <c r="AK33" s="500"/>
      <c r="AL33" s="30"/>
      <c r="AM33" s="503"/>
      <c r="AN33" s="533">
        <f t="shared" si="8"/>
        <v>0</v>
      </c>
      <c r="AO33" s="497"/>
      <c r="AP33" s="494"/>
      <c r="AQ33" s="500"/>
      <c r="AR33" s="494"/>
      <c r="AS33" s="500"/>
      <c r="AT33" s="30"/>
      <c r="AU33" s="503"/>
      <c r="AV33" s="533">
        <f t="shared" si="9"/>
        <v>0.005603589226357968</v>
      </c>
      <c r="AW33" s="497"/>
      <c r="AX33" s="494"/>
      <c r="AY33" s="500"/>
      <c r="AZ33" s="494"/>
      <c r="BA33" s="500"/>
      <c r="BB33" s="30"/>
      <c r="BC33" s="503"/>
      <c r="BD33" s="390">
        <f t="shared" si="10"/>
        <v>0.0009845513773476657</v>
      </c>
      <c r="BF33" s="542">
        <f t="shared" si="0"/>
        <v>0.002435284234131177</v>
      </c>
      <c r="BG33" s="543">
        <f t="shared" si="1"/>
        <v>7538.777898251241</v>
      </c>
    </row>
    <row r="34" spans="1:59" s="336" customFormat="1" ht="11.25" customHeight="1" thickBot="1">
      <c r="A34" s="424">
        <v>56000</v>
      </c>
      <c r="B34" s="425" t="s">
        <v>105</v>
      </c>
      <c r="C34" s="392"/>
      <c r="D34" s="458">
        <f t="shared" si="2"/>
        <v>4.2294546999798326E-05</v>
      </c>
      <c r="E34" s="394"/>
      <c r="F34" s="458">
        <f t="shared" si="3"/>
        <v>0</v>
      </c>
      <c r="G34" s="393"/>
      <c r="H34" s="458">
        <f t="shared" si="4"/>
        <v>0</v>
      </c>
      <c r="I34" s="395"/>
      <c r="J34" s="434">
        <f t="shared" si="5"/>
        <v>0.0012228787958242268</v>
      </c>
      <c r="K34" s="30"/>
      <c r="L34" s="484"/>
      <c r="M34" s="485"/>
      <c r="N34" s="485"/>
      <c r="O34" s="458">
        <f t="shared" si="6"/>
        <v>0.0012716869275743274</v>
      </c>
      <c r="P34" s="498"/>
      <c r="Q34" s="495"/>
      <c r="R34" s="501"/>
      <c r="S34" s="495"/>
      <c r="T34" s="501"/>
      <c r="U34" s="393"/>
      <c r="V34" s="504"/>
      <c r="W34" s="396">
        <f>W62</f>
        <v>0.0012530810156220686</v>
      </c>
      <c r="Y34" s="536"/>
      <c r="Z34" s="495"/>
      <c r="AA34" s="501"/>
      <c r="AB34" s="495"/>
      <c r="AC34" s="501"/>
      <c r="AD34" s="393"/>
      <c r="AE34" s="504"/>
      <c r="AF34" s="393">
        <f t="shared" si="7"/>
        <v>0.0007908975516173913</v>
      </c>
      <c r="AG34" s="498"/>
      <c r="AH34" s="495"/>
      <c r="AI34" s="501"/>
      <c r="AJ34" s="495"/>
      <c r="AK34" s="501"/>
      <c r="AL34" s="393"/>
      <c r="AM34" s="504"/>
      <c r="AN34" s="534">
        <f t="shared" si="8"/>
        <v>0</v>
      </c>
      <c r="AO34" s="498"/>
      <c r="AP34" s="495"/>
      <c r="AQ34" s="501"/>
      <c r="AR34" s="495"/>
      <c r="AS34" s="501"/>
      <c r="AT34" s="393"/>
      <c r="AU34" s="504"/>
      <c r="AV34" s="534">
        <f t="shared" si="9"/>
        <v>0.0006100043951391637</v>
      </c>
      <c r="AW34" s="498"/>
      <c r="AX34" s="495"/>
      <c r="AY34" s="501"/>
      <c r="AZ34" s="495"/>
      <c r="BA34" s="501"/>
      <c r="BB34" s="393"/>
      <c r="BC34" s="504"/>
      <c r="BD34" s="396">
        <f t="shared" si="10"/>
        <v>0.0001618237355460583</v>
      </c>
      <c r="BF34" s="544">
        <f t="shared" si="0"/>
        <v>0.0005762173751039385</v>
      </c>
      <c r="BG34" s="545">
        <f t="shared" si="1"/>
        <v>1783.7650123710068</v>
      </c>
    </row>
    <row r="35" spans="5:58" ht="8.25" customHeight="1">
      <c r="E35" s="338"/>
      <c r="G35" s="338"/>
      <c r="H35" s="29"/>
      <c r="I35" s="338"/>
      <c r="J35" s="29"/>
      <c r="K35" s="29"/>
      <c r="L35" s="29"/>
      <c r="M35" s="29"/>
      <c r="N35" s="29"/>
      <c r="O35" s="29"/>
      <c r="P35" s="342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F35" s="344"/>
    </row>
    <row r="36" spans="1:65" ht="15">
      <c r="A36" s="466" t="s">
        <v>190</v>
      </c>
      <c r="B36" s="467" t="s">
        <v>79</v>
      </c>
      <c r="E36" s="338"/>
      <c r="G36" s="338"/>
      <c r="H36" s="29"/>
      <c r="I36" s="338"/>
      <c r="J36" s="29"/>
      <c r="K36" s="29"/>
      <c r="L36" s="478"/>
      <c r="M36" s="479"/>
      <c r="N36" s="480"/>
      <c r="O36" s="481"/>
      <c r="P36" s="508">
        <f>SUM(P37:P62)</f>
        <v>62889.95498985491</v>
      </c>
      <c r="Q36" s="505">
        <f>SUM(Q37:Q62)</f>
        <v>0.9999999999999997</v>
      </c>
      <c r="R36" s="511">
        <f>SUM(R37:R62)</f>
        <v>34368.023017912856</v>
      </c>
      <c r="S36" s="505">
        <f>SUM(S37:S62)</f>
        <v>1</v>
      </c>
      <c r="T36" s="511">
        <f>SUM(T37:T62)</f>
        <v>5842.264305831519</v>
      </c>
      <c r="U36" s="505">
        <f>SUM(U37:U62)</f>
        <v>1.0000000000000002</v>
      </c>
      <c r="V36" s="511">
        <f>SUM(V37:V62)</f>
        <v>103100.24231359927</v>
      </c>
      <c r="W36" s="514">
        <f>SUM(W37:W62)</f>
        <v>0.9999999999999999</v>
      </c>
      <c r="Y36" s="524">
        <f aca="true" t="shared" si="11" ref="Y36:AD36">SUM(Y37:Y62)</f>
        <v>14470</v>
      </c>
      <c r="Z36" s="505">
        <f t="shared" si="11"/>
        <v>1.0000000000000002</v>
      </c>
      <c r="AA36" s="511">
        <f t="shared" si="11"/>
        <v>9998</v>
      </c>
      <c r="AB36" s="505">
        <f t="shared" si="11"/>
        <v>1</v>
      </c>
      <c r="AC36" s="511">
        <f t="shared" si="11"/>
        <v>3112</v>
      </c>
      <c r="AD36" s="505">
        <f t="shared" si="11"/>
        <v>1</v>
      </c>
      <c r="AE36" s="511">
        <f>SUM(AE37:AE62)</f>
        <v>27580</v>
      </c>
      <c r="AF36" s="445">
        <f>SUM(AF37:AF62)</f>
        <v>1.0000000000000002</v>
      </c>
      <c r="AG36" s="508">
        <f aca="true" t="shared" si="12" ref="AG36:AL36">SUM(AG37:AG62)</f>
        <v>278</v>
      </c>
      <c r="AH36" s="505">
        <f t="shared" si="12"/>
        <v>1</v>
      </c>
      <c r="AI36" s="511">
        <f t="shared" si="12"/>
        <v>3271</v>
      </c>
      <c r="AJ36" s="505">
        <f t="shared" si="12"/>
        <v>1.0000000000000002</v>
      </c>
      <c r="AK36" s="511">
        <f t="shared" si="12"/>
        <v>157</v>
      </c>
      <c r="AL36" s="505">
        <f t="shared" si="12"/>
        <v>0.9999999999999999</v>
      </c>
      <c r="AM36" s="511">
        <f aca="true" t="shared" si="13" ref="AM36:BD36">SUM(AM37:AM62)</f>
        <v>3706</v>
      </c>
      <c r="AN36" s="446">
        <f t="shared" si="13"/>
        <v>0.9999999999999999</v>
      </c>
      <c r="AO36" s="508">
        <f>SUM(AO37:AO62)</f>
        <v>365037.72</v>
      </c>
      <c r="AP36" s="505">
        <f t="shared" si="13"/>
        <v>1.0000000000000002</v>
      </c>
      <c r="AQ36" s="511">
        <f t="shared" si="13"/>
        <v>835233.96</v>
      </c>
      <c r="AR36" s="505">
        <f t="shared" si="13"/>
        <v>1.0000000000000002</v>
      </c>
      <c r="AS36" s="511">
        <f t="shared" si="13"/>
        <v>99800.92000000001</v>
      </c>
      <c r="AT36" s="505">
        <f t="shared" si="13"/>
        <v>0.9999999999999998</v>
      </c>
      <c r="AU36" s="511">
        <f t="shared" si="13"/>
        <v>1300072.6</v>
      </c>
      <c r="AV36" s="446">
        <f t="shared" si="13"/>
        <v>0.9999999999999997</v>
      </c>
      <c r="AW36" s="508">
        <f t="shared" si="13"/>
        <v>583244.7799999998</v>
      </c>
      <c r="AX36" s="505">
        <f t="shared" si="13"/>
        <v>1.0000000000000002</v>
      </c>
      <c r="AY36" s="511">
        <f t="shared" si="13"/>
        <v>753263.12</v>
      </c>
      <c r="AZ36" s="505">
        <f t="shared" si="13"/>
        <v>0.9999999999999999</v>
      </c>
      <c r="BA36" s="511">
        <f t="shared" si="13"/>
        <v>28125.039999999997</v>
      </c>
      <c r="BB36" s="505">
        <f t="shared" si="13"/>
        <v>1.0000000000000002</v>
      </c>
      <c r="BC36" s="511">
        <f t="shared" si="13"/>
        <v>1364632.94</v>
      </c>
      <c r="BD36" s="514">
        <f t="shared" si="13"/>
        <v>1</v>
      </c>
      <c r="BF36"/>
      <c r="BG36"/>
      <c r="BH36"/>
      <c r="BI36"/>
      <c r="BJ36"/>
      <c r="BK36"/>
      <c r="BL36"/>
      <c r="BM36"/>
    </row>
    <row r="37" spans="1:65" ht="11.25" customHeight="1">
      <c r="A37" s="435">
        <v>11000</v>
      </c>
      <c r="B37" s="436" t="s">
        <v>80</v>
      </c>
      <c r="E37" s="338"/>
      <c r="G37" s="338"/>
      <c r="H37" s="29"/>
      <c r="I37" s="338"/>
      <c r="J37" s="29"/>
      <c r="K37" s="29"/>
      <c r="L37" s="474"/>
      <c r="M37" s="472"/>
      <c r="N37" s="473"/>
      <c r="O37" s="448"/>
      <c r="P37" s="509">
        <v>5488.931725580412</v>
      </c>
      <c r="Q37" s="506">
        <f>P37/P$36</f>
        <v>0.08727835353779247</v>
      </c>
      <c r="R37" s="512">
        <v>7640.236484683793</v>
      </c>
      <c r="S37" s="506">
        <f>R37/R$36</f>
        <v>0.2223065458464587</v>
      </c>
      <c r="T37" s="512">
        <v>1441.8093316809764</v>
      </c>
      <c r="U37" s="506">
        <f>T37/T$36</f>
        <v>0.24678947343101523</v>
      </c>
      <c r="V37" s="517">
        <f>P37+R37+T37</f>
        <v>14570.97754194518</v>
      </c>
      <c r="W37" s="515">
        <f>V37/V$36</f>
        <v>0.14132825699501986</v>
      </c>
      <c r="Y37" s="525">
        <v>1552</v>
      </c>
      <c r="Z37" s="506">
        <f>Y37/Y$36</f>
        <v>0.10725639253628197</v>
      </c>
      <c r="AA37" s="512">
        <v>2341</v>
      </c>
      <c r="AB37" s="506">
        <f>AA37/AA$36</f>
        <v>0.23414682936587317</v>
      </c>
      <c r="AC37" s="512">
        <v>1191</v>
      </c>
      <c r="AD37" s="506">
        <f>AC37/AC$36</f>
        <v>0.3827120822622108</v>
      </c>
      <c r="AE37" s="512">
        <f>Y37+AA37+AC37</f>
        <v>5084</v>
      </c>
      <c r="AF37" s="32">
        <f>AE37/AE$36</f>
        <v>0.18433647570703407</v>
      </c>
      <c r="AG37" s="509">
        <v>95</v>
      </c>
      <c r="AH37" s="506">
        <f>AG37/AG$36</f>
        <v>0.34172661870503596</v>
      </c>
      <c r="AI37" s="512">
        <v>2108</v>
      </c>
      <c r="AJ37" s="506">
        <f>AI37/AI$36</f>
        <v>0.6444512381534699</v>
      </c>
      <c r="AK37" s="512">
        <v>34</v>
      </c>
      <c r="AL37" s="506">
        <f>AK37/AK$36</f>
        <v>0.21656050955414013</v>
      </c>
      <c r="AM37" s="512">
        <f>AG37+AI37+AK37</f>
        <v>2237</v>
      </c>
      <c r="AN37" s="438">
        <f>AM37/AM$36</f>
        <v>0.6036157582298974</v>
      </c>
      <c r="AO37" s="509">
        <v>28228.5</v>
      </c>
      <c r="AP37" s="506">
        <f>AO37/AO$36</f>
        <v>0.07733036465382263</v>
      </c>
      <c r="AQ37" s="512">
        <v>129096.3</v>
      </c>
      <c r="AR37" s="506">
        <f>AQ37/AQ$36</f>
        <v>0.15456304003730884</v>
      </c>
      <c r="AS37" s="512">
        <v>13203.9</v>
      </c>
      <c r="AT37" s="506">
        <f>AS37/AS$36</f>
        <v>0.13230238759322055</v>
      </c>
      <c r="AU37" s="512">
        <f>AO37+AQ37+AS37</f>
        <v>170528.69999999998</v>
      </c>
      <c r="AV37" s="438">
        <f>AU37/AU$36</f>
        <v>0.1311685978152297</v>
      </c>
      <c r="AW37" s="509">
        <v>189646.56</v>
      </c>
      <c r="AX37" s="506">
        <f>AW37/AW$36</f>
        <v>0.3251577493758282</v>
      </c>
      <c r="AY37" s="512">
        <v>144007.68</v>
      </c>
      <c r="AZ37" s="506">
        <f>AY37/AY$36</f>
        <v>0.19117845567694858</v>
      </c>
      <c r="BA37" s="512">
        <v>13066.2</v>
      </c>
      <c r="BB37" s="506">
        <f>BA37/BA$36</f>
        <v>0.46457533927062866</v>
      </c>
      <c r="BC37" s="512">
        <f>AW37+AY37+BA37</f>
        <v>346720.44</v>
      </c>
      <c r="BD37" s="515">
        <f>BC37/BC$36</f>
        <v>0.2540759715209571</v>
      </c>
      <c r="BE37" s="338"/>
      <c r="BF37"/>
      <c r="BG37"/>
      <c r="BH37"/>
      <c r="BI37"/>
      <c r="BJ37"/>
      <c r="BK37"/>
      <c r="BL37"/>
      <c r="BM37"/>
    </row>
    <row r="38" spans="1:70" ht="11.25" customHeight="1">
      <c r="A38" s="422">
        <v>12000</v>
      </c>
      <c r="B38" s="423" t="s">
        <v>81</v>
      </c>
      <c r="E38" s="338"/>
      <c r="G38" s="338"/>
      <c r="H38" s="29"/>
      <c r="I38" s="338"/>
      <c r="J38" s="29"/>
      <c r="K38" s="29"/>
      <c r="L38" s="474"/>
      <c r="M38" s="472"/>
      <c r="N38" s="473"/>
      <c r="O38" s="448"/>
      <c r="P38" s="509">
        <v>2891.579967942706</v>
      </c>
      <c r="Q38" s="506">
        <f aca="true" t="shared" si="14" ref="Q38:S62">P38/P$36</f>
        <v>0.045978407337215636</v>
      </c>
      <c r="R38" s="512">
        <v>1276.8962599009901</v>
      </c>
      <c r="S38" s="506">
        <f t="shared" si="14"/>
        <v>0.0371536139636389</v>
      </c>
      <c r="T38" s="512">
        <v>229.84934492315443</v>
      </c>
      <c r="U38" s="506">
        <f>T38/T$36</f>
        <v>0.03934251052177284</v>
      </c>
      <c r="V38" s="517">
        <f aca="true" t="shared" si="15" ref="V38:V62">P38+R38+T38</f>
        <v>4398.32557276685</v>
      </c>
      <c r="W38" s="515">
        <f aca="true" t="shared" si="16" ref="W38:W62">V38/V$36</f>
        <v>0.04266067153740041</v>
      </c>
      <c r="Y38" s="525">
        <v>153</v>
      </c>
      <c r="Z38" s="506">
        <f aca="true" t="shared" si="17" ref="Z38:Z62">Y38/Y$36</f>
        <v>0.010573600552868002</v>
      </c>
      <c r="AA38" s="512">
        <v>29</v>
      </c>
      <c r="AB38" s="506">
        <f aca="true" t="shared" si="18" ref="AB38:AB62">AA38/AA$36</f>
        <v>0.0029005801160232048</v>
      </c>
      <c r="AC38" s="512">
        <v>76</v>
      </c>
      <c r="AD38" s="506">
        <f aca="true" t="shared" si="19" ref="AD38:AD62">AC38/AC$36</f>
        <v>0.02442159383033419</v>
      </c>
      <c r="AE38" s="512">
        <f aca="true" t="shared" si="20" ref="AE38:AE62">Y38+AA38+AC38</f>
        <v>258</v>
      </c>
      <c r="AF38" s="32">
        <f aca="true" t="shared" si="21" ref="AF38:AF62">AE38/AE$36</f>
        <v>0.009354604786076868</v>
      </c>
      <c r="AG38" s="509"/>
      <c r="AH38" s="506">
        <f aca="true" t="shared" si="22" ref="AH38:AH62">AG38/AG$36</f>
        <v>0</v>
      </c>
      <c r="AI38" s="512">
        <v>0</v>
      </c>
      <c r="AJ38" s="506">
        <f aca="true" t="shared" si="23" ref="AJ38:AJ62">AI38/AI$36</f>
        <v>0</v>
      </c>
      <c r="AK38" s="512"/>
      <c r="AL38" s="506">
        <f aca="true" t="shared" si="24" ref="AL38:AL62">AK38/AK$36</f>
        <v>0</v>
      </c>
      <c r="AM38" s="512">
        <f aca="true" t="shared" si="25" ref="AM38:AM62">AG38+AI38+AK38</f>
        <v>0</v>
      </c>
      <c r="AN38" s="438">
        <f aca="true" t="shared" si="26" ref="AN38:AN62">AM38/AM$36</f>
        <v>0</v>
      </c>
      <c r="AO38" s="509">
        <v>13381</v>
      </c>
      <c r="AP38" s="506">
        <f aca="true" t="shared" si="27" ref="AP38:AP62">AO38/AO$36</f>
        <v>0.03665648580097421</v>
      </c>
      <c r="AQ38" s="512">
        <v>11088</v>
      </c>
      <c r="AR38" s="506">
        <f aca="true" t="shared" si="28" ref="AR38:AR62">AQ38/AQ$36</f>
        <v>0.013275322282154332</v>
      </c>
      <c r="AS38" s="512">
        <v>1210</v>
      </c>
      <c r="AT38" s="506">
        <f aca="true" t="shared" si="29" ref="AT38:AT62">AS38/AS$36</f>
        <v>0.01212413673140488</v>
      </c>
      <c r="AU38" s="512">
        <f aca="true" t="shared" si="30" ref="AU38:AU62">AO38+AQ38+AS38</f>
        <v>25679</v>
      </c>
      <c r="AV38" s="438">
        <f aca="true" t="shared" si="31" ref="AV38:AV62">AU38/AU$36</f>
        <v>0.019751973851306455</v>
      </c>
      <c r="AW38" s="509">
        <v>6078</v>
      </c>
      <c r="AX38" s="506">
        <f aca="true" t="shared" si="32" ref="AX38:AX62">AW38/AW$36</f>
        <v>0.010421010540377236</v>
      </c>
      <c r="AY38" s="512">
        <v>3372</v>
      </c>
      <c r="AZ38" s="506">
        <f aca="true" t="shared" si="33" ref="AZ38:AZ62">AY38/AY$36</f>
        <v>0.004476523422519345</v>
      </c>
      <c r="BA38" s="512">
        <v>1128</v>
      </c>
      <c r="BB38" s="506">
        <f aca="true" t="shared" si="34" ref="BB38:BB62">BA38/BA$36</f>
        <v>0.040106609626155205</v>
      </c>
      <c r="BC38" s="512">
        <f aca="true" t="shared" si="35" ref="BC38:BC62">AW38+AY38+BA38</f>
        <v>10578</v>
      </c>
      <c r="BD38" s="515">
        <f aca="true" t="shared" si="36" ref="BD38:BD62">BC38/BC$36</f>
        <v>0.0077515350025187</v>
      </c>
      <c r="BE38" s="338"/>
      <c r="BF38"/>
      <c r="BG38"/>
      <c r="BH38"/>
      <c r="BI38"/>
      <c r="BJ38"/>
      <c r="BK38"/>
      <c r="BL38"/>
      <c r="BM38"/>
      <c r="BN38" s="350"/>
      <c r="BO38" s="350"/>
      <c r="BP38" s="350"/>
      <c r="BQ38" s="350"/>
      <c r="BR38" s="350"/>
    </row>
    <row r="39" spans="1:70" ht="11.25" customHeight="1">
      <c r="A39" s="422">
        <v>13000</v>
      </c>
      <c r="B39" s="423" t="s">
        <v>82</v>
      </c>
      <c r="E39" s="338"/>
      <c r="G39" s="338"/>
      <c r="H39" s="29"/>
      <c r="I39" s="338"/>
      <c r="J39" s="29"/>
      <c r="K39" s="29"/>
      <c r="L39" s="474"/>
      <c r="M39" s="472"/>
      <c r="N39" s="473"/>
      <c r="O39" s="448"/>
      <c r="P39" s="509">
        <v>2032.376821404277</v>
      </c>
      <c r="Q39" s="506">
        <f t="shared" si="14"/>
        <v>0.03231639809143018</v>
      </c>
      <c r="R39" s="512">
        <v>803.7008571428572</v>
      </c>
      <c r="S39" s="506">
        <f t="shared" si="14"/>
        <v>0.02338513497631105</v>
      </c>
      <c r="T39" s="512">
        <v>26.047727272727272</v>
      </c>
      <c r="U39" s="506">
        <f>T39/T$36</f>
        <v>0.004458498607590802</v>
      </c>
      <c r="V39" s="517">
        <f t="shared" si="15"/>
        <v>2862.1254058198615</v>
      </c>
      <c r="W39" s="515">
        <f t="shared" si="16"/>
        <v>0.02776060794420012</v>
      </c>
      <c r="Y39" s="525">
        <v>194</v>
      </c>
      <c r="Z39" s="506">
        <f t="shared" si="17"/>
        <v>0.013407049067035246</v>
      </c>
      <c r="AA39" s="512">
        <v>30</v>
      </c>
      <c r="AB39" s="506">
        <f t="shared" si="18"/>
        <v>0.0030006001200240046</v>
      </c>
      <c r="AC39" s="512">
        <v>7</v>
      </c>
      <c r="AD39" s="506">
        <f t="shared" si="19"/>
        <v>0.002249357326478149</v>
      </c>
      <c r="AE39" s="512">
        <f t="shared" si="20"/>
        <v>231</v>
      </c>
      <c r="AF39" s="32">
        <f t="shared" si="21"/>
        <v>0.008375634517766498</v>
      </c>
      <c r="AG39" s="509"/>
      <c r="AH39" s="506">
        <f t="shared" si="22"/>
        <v>0</v>
      </c>
      <c r="AI39" s="512">
        <v>7</v>
      </c>
      <c r="AJ39" s="506">
        <f t="shared" si="23"/>
        <v>0.0021400183430143687</v>
      </c>
      <c r="AK39" s="512"/>
      <c r="AL39" s="506">
        <f t="shared" si="24"/>
        <v>0</v>
      </c>
      <c r="AM39" s="512">
        <f t="shared" si="25"/>
        <v>7</v>
      </c>
      <c r="AN39" s="438">
        <f t="shared" si="26"/>
        <v>0.0018888289260658392</v>
      </c>
      <c r="AO39" s="509">
        <v>26457.78</v>
      </c>
      <c r="AP39" s="506">
        <f t="shared" si="27"/>
        <v>0.07247957827481499</v>
      </c>
      <c r="AQ39" s="512">
        <v>16710.66</v>
      </c>
      <c r="AR39" s="506">
        <f t="shared" si="28"/>
        <v>0.020007160628382495</v>
      </c>
      <c r="AS39" s="512">
        <v>0</v>
      </c>
      <c r="AT39" s="506">
        <f t="shared" si="29"/>
        <v>0</v>
      </c>
      <c r="AU39" s="512">
        <f t="shared" si="30"/>
        <v>43168.44</v>
      </c>
      <c r="AV39" s="438">
        <f t="shared" si="31"/>
        <v>0.03320463795637259</v>
      </c>
      <c r="AW39" s="509">
        <v>13928.1</v>
      </c>
      <c r="AX39" s="506">
        <f t="shared" si="32"/>
        <v>0.023880368033469594</v>
      </c>
      <c r="AY39" s="512">
        <v>5112.24</v>
      </c>
      <c r="AZ39" s="506">
        <f t="shared" si="33"/>
        <v>0.0067867918450593995</v>
      </c>
      <c r="BA39" s="512">
        <v>0</v>
      </c>
      <c r="BB39" s="506">
        <f t="shared" si="34"/>
        <v>0</v>
      </c>
      <c r="BC39" s="512">
        <f t="shared" si="35"/>
        <v>19040.34</v>
      </c>
      <c r="BD39" s="515">
        <f t="shared" si="36"/>
        <v>0.013952719036666374</v>
      </c>
      <c r="BE39" s="338"/>
      <c r="BF39"/>
      <c r="BG39"/>
      <c r="BH39"/>
      <c r="BI39"/>
      <c r="BJ39"/>
      <c r="BK39"/>
      <c r="BL39"/>
      <c r="BM39"/>
      <c r="BN39" s="350"/>
      <c r="BO39" s="350"/>
      <c r="BP39" s="350"/>
      <c r="BQ39" s="350"/>
      <c r="BR39" s="350"/>
    </row>
    <row r="40" spans="1:70" ht="11.25" customHeight="1">
      <c r="A40" s="422">
        <v>14000</v>
      </c>
      <c r="B40" s="423" t="s">
        <v>83</v>
      </c>
      <c r="E40" s="338"/>
      <c r="G40" s="338"/>
      <c r="H40" s="29"/>
      <c r="I40" s="338"/>
      <c r="J40" s="29"/>
      <c r="K40" s="29"/>
      <c r="L40" s="474"/>
      <c r="M40" s="472"/>
      <c r="N40" s="473"/>
      <c r="O40" s="448"/>
      <c r="P40" s="509">
        <v>5446.368449729633</v>
      </c>
      <c r="Q40" s="506">
        <f t="shared" si="14"/>
        <v>0.08660156380471593</v>
      </c>
      <c r="R40" s="512">
        <v>3561.932297409041</v>
      </c>
      <c r="S40" s="506">
        <f t="shared" si="14"/>
        <v>0.10364088430552251</v>
      </c>
      <c r="T40" s="512">
        <v>801.2901122923342</v>
      </c>
      <c r="U40" s="506">
        <f>T40/T$36</f>
        <v>0.13715403315329605</v>
      </c>
      <c r="V40" s="517">
        <f t="shared" si="15"/>
        <v>9809.590859431008</v>
      </c>
      <c r="W40" s="515">
        <f t="shared" si="16"/>
        <v>0.09514614747066495</v>
      </c>
      <c r="Y40" s="525">
        <v>3023</v>
      </c>
      <c r="Z40" s="506">
        <f t="shared" si="17"/>
        <v>0.208914996544575</v>
      </c>
      <c r="AA40" s="512">
        <v>2573</v>
      </c>
      <c r="AB40" s="506">
        <f t="shared" si="18"/>
        <v>0.2573514702940588</v>
      </c>
      <c r="AC40" s="512">
        <v>518</v>
      </c>
      <c r="AD40" s="506">
        <f t="shared" si="19"/>
        <v>0.16645244215938304</v>
      </c>
      <c r="AE40" s="512">
        <f t="shared" si="20"/>
        <v>6114</v>
      </c>
      <c r="AF40" s="32">
        <f t="shared" si="21"/>
        <v>0.22168237853517042</v>
      </c>
      <c r="AG40" s="509"/>
      <c r="AH40" s="506">
        <f t="shared" si="22"/>
        <v>0</v>
      </c>
      <c r="AI40" s="512">
        <v>486</v>
      </c>
      <c r="AJ40" s="506">
        <f t="shared" si="23"/>
        <v>0.14857841638642616</v>
      </c>
      <c r="AK40" s="512">
        <v>12</v>
      </c>
      <c r="AL40" s="506">
        <f t="shared" si="24"/>
        <v>0.07643312101910828</v>
      </c>
      <c r="AM40" s="512">
        <f t="shared" si="25"/>
        <v>498</v>
      </c>
      <c r="AN40" s="438">
        <f t="shared" si="26"/>
        <v>0.13437668645439826</v>
      </c>
      <c r="AO40" s="509">
        <v>68824.07999999999</v>
      </c>
      <c r="AP40" s="506">
        <f t="shared" si="27"/>
        <v>0.1885396391364706</v>
      </c>
      <c r="AQ40" s="512">
        <v>164820.06</v>
      </c>
      <c r="AR40" s="506">
        <f t="shared" si="28"/>
        <v>0.19733400208008783</v>
      </c>
      <c r="AS40" s="512">
        <v>24244.379999999997</v>
      </c>
      <c r="AT40" s="506">
        <f t="shared" si="29"/>
        <v>0.2429274199075519</v>
      </c>
      <c r="AU40" s="512">
        <f t="shared" si="30"/>
        <v>257888.52</v>
      </c>
      <c r="AV40" s="438">
        <f t="shared" si="31"/>
        <v>0.19836470670945605</v>
      </c>
      <c r="AW40" s="509">
        <v>1516.1999999999998</v>
      </c>
      <c r="AX40" s="506">
        <f t="shared" si="32"/>
        <v>0.002599594633320165</v>
      </c>
      <c r="AY40" s="512">
        <v>215160.18</v>
      </c>
      <c r="AZ40" s="506">
        <f t="shared" si="33"/>
        <v>0.2856374808313992</v>
      </c>
      <c r="BA40" s="512">
        <v>391.02</v>
      </c>
      <c r="BB40" s="506">
        <f t="shared" si="34"/>
        <v>0.013902913560300715</v>
      </c>
      <c r="BC40" s="512">
        <f t="shared" si="35"/>
        <v>217067.4</v>
      </c>
      <c r="BD40" s="515">
        <f t="shared" si="36"/>
        <v>0.1590665105885543</v>
      </c>
      <c r="BE40" s="338"/>
      <c r="BF40"/>
      <c r="BG40"/>
      <c r="BH40"/>
      <c r="BI40"/>
      <c r="BJ40"/>
      <c r="BK40"/>
      <c r="BL40"/>
      <c r="BM40"/>
      <c r="BN40" s="350"/>
      <c r="BO40" s="350"/>
      <c r="BP40" s="350"/>
      <c r="BQ40" s="350"/>
      <c r="BR40" s="350"/>
    </row>
    <row r="41" spans="1:70" ht="11.25" customHeight="1">
      <c r="A41" s="422">
        <v>15000</v>
      </c>
      <c r="B41" s="423" t="s">
        <v>84</v>
      </c>
      <c r="G41" s="345"/>
      <c r="H41" s="29"/>
      <c r="I41" s="29"/>
      <c r="J41" s="29"/>
      <c r="K41" s="29"/>
      <c r="L41" s="474"/>
      <c r="M41" s="472"/>
      <c r="N41" s="473"/>
      <c r="O41" s="448"/>
      <c r="P41" s="509">
        <v>3963.9981837920027</v>
      </c>
      <c r="Q41" s="506">
        <f t="shared" si="14"/>
        <v>0.06303070473546141</v>
      </c>
      <c r="R41" s="512">
        <v>2793.8294743460765</v>
      </c>
      <c r="S41" s="506">
        <f t="shared" si="14"/>
        <v>0.08129153873325541</v>
      </c>
      <c r="T41" s="512">
        <v>360.3105303030302</v>
      </c>
      <c r="U41" s="506">
        <f>T41/T$36</f>
        <v>0.061673096498455635</v>
      </c>
      <c r="V41" s="517">
        <f t="shared" si="15"/>
        <v>7118.138188441109</v>
      </c>
      <c r="W41" s="515">
        <f t="shared" si="16"/>
        <v>0.06904094528497731</v>
      </c>
      <c r="Y41" s="525">
        <v>339</v>
      </c>
      <c r="Z41" s="506">
        <f t="shared" si="17"/>
        <v>0.023427781617138908</v>
      </c>
      <c r="AA41" s="512">
        <v>602</v>
      </c>
      <c r="AB41" s="506">
        <f t="shared" si="18"/>
        <v>0.06021204240848169</v>
      </c>
      <c r="AC41" s="512">
        <v>165</v>
      </c>
      <c r="AD41" s="506">
        <f t="shared" si="19"/>
        <v>0.053020565552699225</v>
      </c>
      <c r="AE41" s="512">
        <f t="shared" si="20"/>
        <v>1106</v>
      </c>
      <c r="AF41" s="32">
        <f t="shared" si="21"/>
        <v>0.04010152284263959</v>
      </c>
      <c r="AG41" s="509"/>
      <c r="AH41" s="506">
        <f t="shared" si="22"/>
        <v>0</v>
      </c>
      <c r="AI41" s="512">
        <v>280</v>
      </c>
      <c r="AJ41" s="506">
        <f t="shared" si="23"/>
        <v>0.08560073372057475</v>
      </c>
      <c r="AK41" s="512">
        <v>13</v>
      </c>
      <c r="AL41" s="506">
        <f t="shared" si="24"/>
        <v>0.08280254777070063</v>
      </c>
      <c r="AM41" s="512">
        <f t="shared" si="25"/>
        <v>293</v>
      </c>
      <c r="AN41" s="438">
        <f t="shared" si="26"/>
        <v>0.07906098219104156</v>
      </c>
      <c r="AO41" s="509">
        <v>39189.42</v>
      </c>
      <c r="AP41" s="506">
        <f t="shared" si="27"/>
        <v>0.10735717941696546</v>
      </c>
      <c r="AQ41" s="512">
        <v>46500.78</v>
      </c>
      <c r="AR41" s="506">
        <f t="shared" si="28"/>
        <v>0.05567395751006102</v>
      </c>
      <c r="AS41" s="512">
        <v>5519.22</v>
      </c>
      <c r="AT41" s="506">
        <f t="shared" si="29"/>
        <v>0.05530229581049954</v>
      </c>
      <c r="AU41" s="512">
        <f t="shared" si="30"/>
        <v>91209.42</v>
      </c>
      <c r="AV41" s="438">
        <f t="shared" si="31"/>
        <v>0.07015717429934297</v>
      </c>
      <c r="AW41" s="509">
        <v>25402.08</v>
      </c>
      <c r="AX41" s="506">
        <f t="shared" si="32"/>
        <v>0.04355303445664788</v>
      </c>
      <c r="AY41" s="512">
        <v>29881.920000000002</v>
      </c>
      <c r="AZ41" s="506">
        <f t="shared" si="33"/>
        <v>0.03966996286768958</v>
      </c>
      <c r="BA41" s="512">
        <v>1119.96</v>
      </c>
      <c r="BB41" s="506">
        <f t="shared" si="34"/>
        <v>0.03982074336605389</v>
      </c>
      <c r="BC41" s="512">
        <f t="shared" si="35"/>
        <v>56403.96</v>
      </c>
      <c r="BD41" s="515">
        <f t="shared" si="36"/>
        <v>0.041332697128064345</v>
      </c>
      <c r="BE41" s="338"/>
      <c r="BF41"/>
      <c r="BG41"/>
      <c r="BH41"/>
      <c r="BI41"/>
      <c r="BJ41"/>
      <c r="BK41"/>
      <c r="BL41"/>
      <c r="BM41"/>
      <c r="BN41" s="350"/>
      <c r="BO41" s="350"/>
      <c r="BP41" s="350"/>
      <c r="BQ41" s="350"/>
      <c r="BR41" s="350"/>
    </row>
    <row r="42" spans="1:70" ht="11.25" customHeight="1">
      <c r="A42" s="422">
        <v>16000</v>
      </c>
      <c r="B42" s="423" t="s">
        <v>85</v>
      </c>
      <c r="G42" s="345"/>
      <c r="H42" s="29"/>
      <c r="I42" s="29"/>
      <c r="J42" s="29"/>
      <c r="K42" s="29"/>
      <c r="L42" s="474"/>
      <c r="M42" s="472"/>
      <c r="N42" s="473"/>
      <c r="O42" s="448"/>
      <c r="P42" s="509">
        <v>242.24753978494624</v>
      </c>
      <c r="Q42" s="506">
        <f t="shared" si="14"/>
        <v>0.003851927383697832</v>
      </c>
      <c r="R42" s="512">
        <v>1134.1727564102566</v>
      </c>
      <c r="S42" s="506">
        <f t="shared" si="14"/>
        <v>0.03300081461826064</v>
      </c>
      <c r="T42" s="512">
        <v>92.97058823529412</v>
      </c>
      <c r="U42" s="506">
        <f>T42/T$36</f>
        <v>0.015913451252538253</v>
      </c>
      <c r="V42" s="517">
        <f t="shared" si="15"/>
        <v>1469.390884430497</v>
      </c>
      <c r="W42" s="515">
        <f t="shared" si="16"/>
        <v>0.014252060436105099</v>
      </c>
      <c r="Y42" s="525">
        <v>22</v>
      </c>
      <c r="Z42" s="506">
        <f t="shared" si="17"/>
        <v>0.0015203870076019351</v>
      </c>
      <c r="AA42" s="512">
        <v>371</v>
      </c>
      <c r="AB42" s="506">
        <f t="shared" si="18"/>
        <v>0.03710742148429686</v>
      </c>
      <c r="AC42" s="512">
        <v>33</v>
      </c>
      <c r="AD42" s="506">
        <f t="shared" si="19"/>
        <v>0.010604113110539846</v>
      </c>
      <c r="AE42" s="512">
        <f t="shared" si="20"/>
        <v>426</v>
      </c>
      <c r="AF42" s="32">
        <f t="shared" si="21"/>
        <v>0.015445975344452502</v>
      </c>
      <c r="AG42" s="509"/>
      <c r="AH42" s="506">
        <f t="shared" si="22"/>
        <v>0</v>
      </c>
      <c r="AI42" s="512">
        <v>205</v>
      </c>
      <c r="AJ42" s="506">
        <f t="shared" si="23"/>
        <v>0.06267196575970652</v>
      </c>
      <c r="AK42" s="512"/>
      <c r="AL42" s="506">
        <f t="shared" si="24"/>
        <v>0</v>
      </c>
      <c r="AM42" s="512">
        <f t="shared" si="25"/>
        <v>205</v>
      </c>
      <c r="AN42" s="438">
        <f t="shared" si="26"/>
        <v>0.05531570426335672</v>
      </c>
      <c r="AO42" s="509">
        <v>0</v>
      </c>
      <c r="AP42" s="506">
        <f t="shared" si="27"/>
        <v>0</v>
      </c>
      <c r="AQ42" s="512">
        <v>7175.7</v>
      </c>
      <c r="AR42" s="506">
        <f t="shared" si="28"/>
        <v>0.008591245499644195</v>
      </c>
      <c r="AS42" s="512">
        <v>954.72</v>
      </c>
      <c r="AT42" s="506">
        <f t="shared" si="29"/>
        <v>0.009566244479509807</v>
      </c>
      <c r="AU42" s="512">
        <f t="shared" si="30"/>
        <v>8130.42</v>
      </c>
      <c r="AV42" s="438">
        <f t="shared" si="31"/>
        <v>0.0062538199789765585</v>
      </c>
      <c r="AW42" s="509">
        <v>0</v>
      </c>
      <c r="AX42" s="506">
        <f t="shared" si="32"/>
        <v>0</v>
      </c>
      <c r="AY42" s="512">
        <v>9469.68</v>
      </c>
      <c r="AZ42" s="506">
        <f t="shared" si="33"/>
        <v>0.012571543393761268</v>
      </c>
      <c r="BA42" s="512">
        <v>36.72</v>
      </c>
      <c r="BB42" s="506">
        <f t="shared" si="34"/>
        <v>0.0013055981431493076</v>
      </c>
      <c r="BC42" s="512">
        <f t="shared" si="35"/>
        <v>9506.4</v>
      </c>
      <c r="BD42" s="515">
        <f t="shared" si="36"/>
        <v>0.006966268892791053</v>
      </c>
      <c r="BE42" s="338"/>
      <c r="BF42"/>
      <c r="BG42"/>
      <c r="BH42"/>
      <c r="BI42"/>
      <c r="BJ42"/>
      <c r="BK42"/>
      <c r="BL42"/>
      <c r="BM42"/>
      <c r="BN42" s="350"/>
      <c r="BO42" s="350"/>
      <c r="BP42" s="350"/>
      <c r="BQ42" s="350"/>
      <c r="BR42" s="350"/>
    </row>
    <row r="43" spans="1:70" ht="11.25" customHeight="1">
      <c r="A43" s="422">
        <v>17000</v>
      </c>
      <c r="B43" s="423" t="s">
        <v>86</v>
      </c>
      <c r="G43" s="345"/>
      <c r="H43" s="29"/>
      <c r="I43" s="29"/>
      <c r="J43" s="29"/>
      <c r="K43" s="29"/>
      <c r="L43" s="474"/>
      <c r="M43" s="472"/>
      <c r="N43" s="473"/>
      <c r="O43" s="448"/>
      <c r="P43" s="509">
        <v>2877.276478095823</v>
      </c>
      <c r="Q43" s="506">
        <f t="shared" si="14"/>
        <v>0.045750970541479495</v>
      </c>
      <c r="R43" s="512">
        <v>828.6539256198348</v>
      </c>
      <c r="S43" s="506">
        <f t="shared" si="14"/>
        <v>0.024111189787900646</v>
      </c>
      <c r="T43" s="512">
        <v>73.82995835812017</v>
      </c>
      <c r="U43" s="506">
        <f>T43/T$36</f>
        <v>0.012637216410155562</v>
      </c>
      <c r="V43" s="517">
        <f t="shared" si="15"/>
        <v>3779.760362073778</v>
      </c>
      <c r="W43" s="515">
        <f t="shared" si="16"/>
        <v>0.03666102307089549</v>
      </c>
      <c r="Y43" s="525">
        <v>189</v>
      </c>
      <c r="Z43" s="506">
        <f t="shared" si="17"/>
        <v>0.013061506565307532</v>
      </c>
      <c r="AA43" s="512">
        <v>101</v>
      </c>
      <c r="AB43" s="506">
        <f t="shared" si="18"/>
        <v>0.010102020404080815</v>
      </c>
      <c r="AC43" s="512">
        <v>30</v>
      </c>
      <c r="AD43" s="506">
        <f t="shared" si="19"/>
        <v>0.009640102827763496</v>
      </c>
      <c r="AE43" s="512">
        <f t="shared" si="20"/>
        <v>320</v>
      </c>
      <c r="AF43" s="32">
        <f t="shared" si="21"/>
        <v>0.011602610587382161</v>
      </c>
      <c r="AG43" s="509">
        <v>54</v>
      </c>
      <c r="AH43" s="506">
        <f t="shared" si="22"/>
        <v>0.19424460431654678</v>
      </c>
      <c r="AI43" s="512">
        <v>0</v>
      </c>
      <c r="AJ43" s="506">
        <f t="shared" si="23"/>
        <v>0</v>
      </c>
      <c r="AK43" s="512">
        <v>1</v>
      </c>
      <c r="AL43" s="506">
        <f t="shared" si="24"/>
        <v>0.006369426751592357</v>
      </c>
      <c r="AM43" s="512">
        <f t="shared" si="25"/>
        <v>55</v>
      </c>
      <c r="AN43" s="438">
        <f t="shared" si="26"/>
        <v>0.014840798704803022</v>
      </c>
      <c r="AO43" s="509">
        <v>14518.68</v>
      </c>
      <c r="AP43" s="506">
        <f t="shared" si="27"/>
        <v>0.039773095229720376</v>
      </c>
      <c r="AQ43" s="512">
        <v>17893.86</v>
      </c>
      <c r="AR43" s="506">
        <f t="shared" si="28"/>
        <v>0.02142376969442191</v>
      </c>
      <c r="AS43" s="512">
        <v>1967.58</v>
      </c>
      <c r="AT43" s="506">
        <f t="shared" si="29"/>
        <v>0.019715048718989762</v>
      </c>
      <c r="AU43" s="512">
        <f t="shared" si="30"/>
        <v>34380.12</v>
      </c>
      <c r="AV43" s="438">
        <f t="shared" si="31"/>
        <v>0.02644476931519055</v>
      </c>
      <c r="AW43" s="509">
        <v>21198.66</v>
      </c>
      <c r="AX43" s="506">
        <f t="shared" si="32"/>
        <v>0.0363460775422628</v>
      </c>
      <c r="AY43" s="512">
        <v>2555.1</v>
      </c>
      <c r="AZ43" s="506">
        <f t="shared" si="33"/>
        <v>0.0033920418140211085</v>
      </c>
      <c r="BA43" s="512">
        <v>139.74</v>
      </c>
      <c r="BB43" s="506">
        <f t="shared" si="34"/>
        <v>0.004968526266984866</v>
      </c>
      <c r="BC43" s="512">
        <f t="shared" si="35"/>
        <v>23893.5</v>
      </c>
      <c r="BD43" s="515">
        <f t="shared" si="36"/>
        <v>0.017509103949960348</v>
      </c>
      <c r="BE43" s="338"/>
      <c r="BF43"/>
      <c r="BG43"/>
      <c r="BH43"/>
      <c r="BI43"/>
      <c r="BJ43"/>
      <c r="BK43"/>
      <c r="BL43"/>
      <c r="BM43"/>
      <c r="BN43" s="350"/>
      <c r="BO43" s="350"/>
      <c r="BP43" s="350"/>
      <c r="BQ43" s="350"/>
      <c r="BR43" s="350"/>
    </row>
    <row r="44" spans="1:70" ht="11.25" customHeight="1">
      <c r="A44" s="422">
        <v>18000</v>
      </c>
      <c r="B44" s="423" t="s">
        <v>87</v>
      </c>
      <c r="G44" s="345"/>
      <c r="H44" s="29"/>
      <c r="I44" s="29"/>
      <c r="J44" s="29"/>
      <c r="K44" s="29"/>
      <c r="L44" s="474"/>
      <c r="M44" s="472"/>
      <c r="N44" s="473"/>
      <c r="O44" s="448"/>
      <c r="P44" s="509">
        <v>1878.2350220867968</v>
      </c>
      <c r="Q44" s="506">
        <f t="shared" si="14"/>
        <v>0.029865421630366634</v>
      </c>
      <c r="R44" s="512">
        <v>959.3356328233657</v>
      </c>
      <c r="S44" s="506">
        <f t="shared" si="14"/>
        <v>0.027913611217129167</v>
      </c>
      <c r="T44" s="512">
        <v>19.720000000000002</v>
      </c>
      <c r="U44" s="506">
        <f>T44/T$36</f>
        <v>0.0033754036051255455</v>
      </c>
      <c r="V44" s="517">
        <f t="shared" si="15"/>
        <v>2857.290654910162</v>
      </c>
      <c r="W44" s="515">
        <f t="shared" si="16"/>
        <v>0.02771371425315531</v>
      </c>
      <c r="Y44" s="525">
        <v>78</v>
      </c>
      <c r="Z44" s="506">
        <f t="shared" si="17"/>
        <v>0.005390463026952315</v>
      </c>
      <c r="AA44" s="512">
        <v>17</v>
      </c>
      <c r="AB44" s="506">
        <f t="shared" si="18"/>
        <v>0.0017003400680136026</v>
      </c>
      <c r="AC44" s="512">
        <v>8</v>
      </c>
      <c r="AD44" s="506">
        <f t="shared" si="19"/>
        <v>0.002570694087403599</v>
      </c>
      <c r="AE44" s="512">
        <f t="shared" si="20"/>
        <v>103</v>
      </c>
      <c r="AF44" s="32">
        <f t="shared" si="21"/>
        <v>0.003734590282813633</v>
      </c>
      <c r="AG44" s="509">
        <v>18</v>
      </c>
      <c r="AH44" s="506">
        <f t="shared" si="22"/>
        <v>0.06474820143884892</v>
      </c>
      <c r="AI44" s="512">
        <v>4</v>
      </c>
      <c r="AJ44" s="506">
        <f t="shared" si="23"/>
        <v>0.0012228676245796392</v>
      </c>
      <c r="AK44" s="512"/>
      <c r="AL44" s="506">
        <f t="shared" si="24"/>
        <v>0</v>
      </c>
      <c r="AM44" s="512">
        <f t="shared" si="25"/>
        <v>22</v>
      </c>
      <c r="AN44" s="438">
        <f t="shared" si="26"/>
        <v>0.0059363194819212085</v>
      </c>
      <c r="AO44" s="509">
        <v>18402.84</v>
      </c>
      <c r="AP44" s="506">
        <f t="shared" si="27"/>
        <v>0.050413529867543556</v>
      </c>
      <c r="AQ44" s="512">
        <v>11350.56</v>
      </c>
      <c r="AR44" s="506">
        <f t="shared" si="28"/>
        <v>0.013589677316281537</v>
      </c>
      <c r="AS44" s="512">
        <v>0</v>
      </c>
      <c r="AT44" s="506">
        <f t="shared" si="29"/>
        <v>0</v>
      </c>
      <c r="AU44" s="512">
        <f t="shared" si="30"/>
        <v>29753.4</v>
      </c>
      <c r="AV44" s="438">
        <f t="shared" si="31"/>
        <v>0.022885952676796665</v>
      </c>
      <c r="AW44" s="509">
        <v>4423.74</v>
      </c>
      <c r="AX44" s="506">
        <f t="shared" si="32"/>
        <v>0.007584705687378807</v>
      </c>
      <c r="AY44" s="512">
        <v>7348.08</v>
      </c>
      <c r="AZ44" s="506">
        <f t="shared" si="33"/>
        <v>0.009754997695891443</v>
      </c>
      <c r="BA44" s="512">
        <v>0</v>
      </c>
      <c r="BB44" s="506">
        <f t="shared" si="34"/>
        <v>0</v>
      </c>
      <c r="BC44" s="512">
        <f t="shared" si="35"/>
        <v>11771.82</v>
      </c>
      <c r="BD44" s="515">
        <f t="shared" si="36"/>
        <v>0.008626363657907891</v>
      </c>
      <c r="BE44" s="338"/>
      <c r="BF44"/>
      <c r="BG44"/>
      <c r="BH44"/>
      <c r="BI44"/>
      <c r="BJ44"/>
      <c r="BK44"/>
      <c r="BL44"/>
      <c r="BM44"/>
      <c r="BN44" s="350"/>
      <c r="BO44" s="350"/>
      <c r="BP44" s="350"/>
      <c r="BQ44" s="350"/>
      <c r="BR44" s="350"/>
    </row>
    <row r="45" spans="1:70" ht="11.25" customHeight="1">
      <c r="A45" s="422">
        <v>19000</v>
      </c>
      <c r="B45" s="423" t="s">
        <v>88</v>
      </c>
      <c r="G45" s="345"/>
      <c r="H45" s="29"/>
      <c r="I45" s="29"/>
      <c r="J45" s="29"/>
      <c r="K45" s="29"/>
      <c r="L45" s="474"/>
      <c r="M45" s="472"/>
      <c r="N45" s="473"/>
      <c r="O45" s="448"/>
      <c r="P45" s="509">
        <v>1850.8942169164895</v>
      </c>
      <c r="Q45" s="506">
        <f t="shared" si="14"/>
        <v>0.029430681214751488</v>
      </c>
      <c r="R45" s="512">
        <v>260.61385326086963</v>
      </c>
      <c r="S45" s="506">
        <f t="shared" si="14"/>
        <v>0.007583033016622337</v>
      </c>
      <c r="T45" s="512">
        <v>12.812800000000001</v>
      </c>
      <c r="U45" s="506">
        <f>T45/T$36</f>
        <v>0.002193122277472241</v>
      </c>
      <c r="V45" s="517">
        <f t="shared" si="15"/>
        <v>2124.320870177359</v>
      </c>
      <c r="W45" s="515">
        <f t="shared" si="16"/>
        <v>0.020604421701704904</v>
      </c>
      <c r="Y45" s="525">
        <v>376</v>
      </c>
      <c r="Z45" s="506">
        <f t="shared" si="17"/>
        <v>0.025984796129923982</v>
      </c>
      <c r="AA45" s="512">
        <v>128</v>
      </c>
      <c r="AB45" s="506">
        <f t="shared" si="18"/>
        <v>0.01280256051210242</v>
      </c>
      <c r="AC45" s="512">
        <v>26</v>
      </c>
      <c r="AD45" s="506">
        <f t="shared" si="19"/>
        <v>0.008354755784061696</v>
      </c>
      <c r="AE45" s="512">
        <f t="shared" si="20"/>
        <v>530</v>
      </c>
      <c r="AF45" s="32">
        <f t="shared" si="21"/>
        <v>0.019216823785351705</v>
      </c>
      <c r="AG45" s="509"/>
      <c r="AH45" s="506">
        <f t="shared" si="22"/>
        <v>0</v>
      </c>
      <c r="AI45" s="512">
        <v>0</v>
      </c>
      <c r="AJ45" s="506">
        <f t="shared" si="23"/>
        <v>0</v>
      </c>
      <c r="AK45" s="512"/>
      <c r="AL45" s="506">
        <f t="shared" si="24"/>
        <v>0</v>
      </c>
      <c r="AM45" s="512">
        <f t="shared" si="25"/>
        <v>0</v>
      </c>
      <c r="AN45" s="438">
        <f t="shared" si="26"/>
        <v>0</v>
      </c>
      <c r="AO45" s="509">
        <v>8764.86</v>
      </c>
      <c r="AP45" s="506">
        <f t="shared" si="27"/>
        <v>0.02401083372973073</v>
      </c>
      <c r="AQ45" s="512">
        <v>7132.86</v>
      </c>
      <c r="AR45" s="506">
        <f t="shared" si="28"/>
        <v>0.008539954481735872</v>
      </c>
      <c r="AS45" s="512">
        <v>484.5</v>
      </c>
      <c r="AT45" s="506">
        <f t="shared" si="29"/>
        <v>0.004854664666417904</v>
      </c>
      <c r="AU45" s="512">
        <f t="shared" si="30"/>
        <v>16382.220000000001</v>
      </c>
      <c r="AV45" s="438">
        <f t="shared" si="31"/>
        <v>0.012601003974701106</v>
      </c>
      <c r="AW45" s="509">
        <v>4412.52</v>
      </c>
      <c r="AX45" s="506">
        <f t="shared" si="32"/>
        <v>0.00756546848134672</v>
      </c>
      <c r="AY45" s="512">
        <v>602.82</v>
      </c>
      <c r="AZ45" s="506">
        <f t="shared" si="33"/>
        <v>0.0008002781285774352</v>
      </c>
      <c r="BA45" s="512">
        <v>0</v>
      </c>
      <c r="BB45" s="506">
        <f t="shared" si="34"/>
        <v>0</v>
      </c>
      <c r="BC45" s="512">
        <f t="shared" si="35"/>
        <v>5015.34</v>
      </c>
      <c r="BD45" s="515">
        <f t="shared" si="36"/>
        <v>0.003675230058567984</v>
      </c>
      <c r="BE45" s="338"/>
      <c r="BF45"/>
      <c r="BG45"/>
      <c r="BH45"/>
      <c r="BI45"/>
      <c r="BJ45"/>
      <c r="BK45"/>
      <c r="BL45"/>
      <c r="BM45"/>
      <c r="BN45" s="350"/>
      <c r="BO45" s="350"/>
      <c r="BP45" s="350"/>
      <c r="BQ45" s="350"/>
      <c r="BR45" s="350"/>
    </row>
    <row r="46" spans="1:70" ht="11.25" customHeight="1">
      <c r="A46" s="422">
        <v>21000</v>
      </c>
      <c r="B46" s="423" t="s">
        <v>89</v>
      </c>
      <c r="G46" s="345"/>
      <c r="H46" s="29"/>
      <c r="I46" s="29"/>
      <c r="J46" s="29"/>
      <c r="K46" s="29"/>
      <c r="L46" s="474"/>
      <c r="M46" s="472"/>
      <c r="N46" s="473"/>
      <c r="O46" s="448"/>
      <c r="P46" s="509">
        <v>4085.897732185555</v>
      </c>
      <c r="Q46" s="506">
        <f t="shared" si="14"/>
        <v>0.0649690039187446</v>
      </c>
      <c r="R46" s="512">
        <v>1994.6430421004975</v>
      </c>
      <c r="S46" s="506">
        <f t="shared" si="14"/>
        <v>0.05803775914200463</v>
      </c>
      <c r="T46" s="512">
        <v>503.2509455379785</v>
      </c>
      <c r="U46" s="506">
        <f>T46/T$36</f>
        <v>0.08613970871459088</v>
      </c>
      <c r="V46" s="517">
        <f t="shared" si="15"/>
        <v>6583.791719824031</v>
      </c>
      <c r="W46" s="515">
        <f t="shared" si="16"/>
        <v>0.06385815951623236</v>
      </c>
      <c r="Y46" s="525">
        <v>1399</v>
      </c>
      <c r="Z46" s="506">
        <f t="shared" si="17"/>
        <v>0.09668279198341397</v>
      </c>
      <c r="AA46" s="512">
        <v>509</v>
      </c>
      <c r="AB46" s="506">
        <f t="shared" si="18"/>
        <v>0.05091018203640728</v>
      </c>
      <c r="AC46" s="512">
        <v>217</v>
      </c>
      <c r="AD46" s="506">
        <f t="shared" si="19"/>
        <v>0.06973007712082262</v>
      </c>
      <c r="AE46" s="512">
        <f t="shared" si="20"/>
        <v>2125</v>
      </c>
      <c r="AF46" s="32">
        <f t="shared" si="21"/>
        <v>0.07704858593183467</v>
      </c>
      <c r="AG46" s="509">
        <v>47</v>
      </c>
      <c r="AH46" s="506">
        <f t="shared" si="22"/>
        <v>0.16906474820143885</v>
      </c>
      <c r="AI46" s="512">
        <v>69</v>
      </c>
      <c r="AJ46" s="506">
        <f t="shared" si="23"/>
        <v>0.021094466523998778</v>
      </c>
      <c r="AK46" s="512">
        <v>8</v>
      </c>
      <c r="AL46" s="506">
        <f t="shared" si="24"/>
        <v>0.050955414012738856</v>
      </c>
      <c r="AM46" s="512">
        <f t="shared" si="25"/>
        <v>124</v>
      </c>
      <c r="AN46" s="438">
        <f t="shared" si="26"/>
        <v>0.03345925526173772</v>
      </c>
      <c r="AO46" s="509">
        <v>10542.72</v>
      </c>
      <c r="AP46" s="506">
        <f t="shared" si="27"/>
        <v>0.02888117973123435</v>
      </c>
      <c r="AQ46" s="512">
        <v>63655.14</v>
      </c>
      <c r="AR46" s="506">
        <f t="shared" si="28"/>
        <v>0.0762123465382083</v>
      </c>
      <c r="AS46" s="512">
        <v>5245.86</v>
      </c>
      <c r="AT46" s="506">
        <f t="shared" si="29"/>
        <v>0.05256324290397322</v>
      </c>
      <c r="AU46" s="512">
        <f t="shared" si="30"/>
        <v>79443.72</v>
      </c>
      <c r="AV46" s="438">
        <f t="shared" si="31"/>
        <v>0.06110714124734264</v>
      </c>
      <c r="AW46" s="509">
        <v>59085.54</v>
      </c>
      <c r="AX46" s="506">
        <f t="shared" si="32"/>
        <v>0.1013048758018889</v>
      </c>
      <c r="AY46" s="512">
        <v>94753.92</v>
      </c>
      <c r="AZ46" s="506">
        <f t="shared" si="33"/>
        <v>0.12579126401409377</v>
      </c>
      <c r="BA46" s="512">
        <v>3205.86</v>
      </c>
      <c r="BB46" s="506">
        <f t="shared" si="34"/>
        <v>0.11398597121995206</v>
      </c>
      <c r="BC46" s="512">
        <f t="shared" si="35"/>
        <v>157045.31999999998</v>
      </c>
      <c r="BD46" s="515">
        <f t="shared" si="36"/>
        <v>0.11508246312741065</v>
      </c>
      <c r="BE46" s="338"/>
      <c r="BF46"/>
      <c r="BG46"/>
      <c r="BH46"/>
      <c r="BI46"/>
      <c r="BJ46"/>
      <c r="BK46"/>
      <c r="BL46"/>
      <c r="BM46"/>
      <c r="BN46" s="350"/>
      <c r="BO46" s="350"/>
      <c r="BP46" s="350"/>
      <c r="BQ46" s="350"/>
      <c r="BR46" s="350"/>
    </row>
    <row r="47" spans="1:70" ht="11.25" customHeight="1">
      <c r="A47" s="422">
        <v>22000</v>
      </c>
      <c r="B47" s="423" t="s">
        <v>90</v>
      </c>
      <c r="G47" s="345"/>
      <c r="H47" s="29"/>
      <c r="I47" s="29"/>
      <c r="J47" s="29"/>
      <c r="K47" s="29"/>
      <c r="L47" s="474"/>
      <c r="M47" s="472"/>
      <c r="N47" s="473"/>
      <c r="O47" s="448"/>
      <c r="P47" s="509">
        <v>941.5740488804736</v>
      </c>
      <c r="Q47" s="506">
        <f t="shared" si="14"/>
        <v>0.014971771708730966</v>
      </c>
      <c r="R47" s="512">
        <v>421.6510168195719</v>
      </c>
      <c r="S47" s="506">
        <f t="shared" si="14"/>
        <v>0.012268701536885158</v>
      </c>
      <c r="T47" s="512">
        <v>317.072923715897</v>
      </c>
      <c r="U47" s="506">
        <f>T47/T$36</f>
        <v>0.05427226621695414</v>
      </c>
      <c r="V47" s="517">
        <f t="shared" si="15"/>
        <v>1680.2979894159425</v>
      </c>
      <c r="W47" s="515">
        <f t="shared" si="16"/>
        <v>0.016297711350716247</v>
      </c>
      <c r="Y47" s="525">
        <v>259</v>
      </c>
      <c r="Z47" s="506">
        <f t="shared" si="17"/>
        <v>0.01789910158949551</v>
      </c>
      <c r="AA47" s="512">
        <v>73</v>
      </c>
      <c r="AB47" s="506">
        <f t="shared" si="18"/>
        <v>0.007301460292058411</v>
      </c>
      <c r="AC47" s="512">
        <v>65</v>
      </c>
      <c r="AD47" s="506">
        <f t="shared" si="19"/>
        <v>0.020886889460154243</v>
      </c>
      <c r="AE47" s="512">
        <f t="shared" si="20"/>
        <v>397</v>
      </c>
      <c r="AF47" s="32">
        <f t="shared" si="21"/>
        <v>0.014394488759970993</v>
      </c>
      <c r="AG47" s="509">
        <v>7</v>
      </c>
      <c r="AH47" s="506">
        <f t="shared" si="22"/>
        <v>0.025179856115107913</v>
      </c>
      <c r="AI47" s="512">
        <v>27</v>
      </c>
      <c r="AJ47" s="506">
        <f t="shared" si="23"/>
        <v>0.008254356465912565</v>
      </c>
      <c r="AK47" s="512">
        <v>7</v>
      </c>
      <c r="AL47" s="506">
        <f t="shared" si="24"/>
        <v>0.044585987261146494</v>
      </c>
      <c r="AM47" s="512">
        <f t="shared" si="25"/>
        <v>41</v>
      </c>
      <c r="AN47" s="438">
        <f t="shared" si="26"/>
        <v>0.011063140852671344</v>
      </c>
      <c r="AO47" s="509">
        <v>346.8</v>
      </c>
      <c r="AP47" s="506">
        <f t="shared" si="27"/>
        <v>0.0009500388069484984</v>
      </c>
      <c r="AQ47" s="512">
        <v>7916.22</v>
      </c>
      <c r="AR47" s="506">
        <f t="shared" si="28"/>
        <v>0.009477847380630932</v>
      </c>
      <c r="AS47" s="512">
        <v>2731.56</v>
      </c>
      <c r="AT47" s="506">
        <f t="shared" si="29"/>
        <v>0.027370088371930838</v>
      </c>
      <c r="AU47" s="512">
        <f t="shared" si="30"/>
        <v>10994.58</v>
      </c>
      <c r="AV47" s="438">
        <f t="shared" si="31"/>
        <v>0.008456896945601346</v>
      </c>
      <c r="AW47" s="509">
        <v>4824.6</v>
      </c>
      <c r="AX47" s="506">
        <f t="shared" si="32"/>
        <v>0.008271998593797963</v>
      </c>
      <c r="AY47" s="512">
        <v>16973.82</v>
      </c>
      <c r="AZ47" s="506">
        <f t="shared" si="33"/>
        <v>0.022533719691467172</v>
      </c>
      <c r="BA47" s="512">
        <v>381.48</v>
      </c>
      <c r="BB47" s="506">
        <f t="shared" si="34"/>
        <v>0.013563714042717808</v>
      </c>
      <c r="BC47" s="512">
        <f t="shared" si="35"/>
        <v>22179.899999999998</v>
      </c>
      <c r="BD47" s="515">
        <f t="shared" si="36"/>
        <v>0.016253381660272688</v>
      </c>
      <c r="BE47" s="338"/>
      <c r="BF47"/>
      <c r="BG47"/>
      <c r="BH47"/>
      <c r="BI47"/>
      <c r="BJ47"/>
      <c r="BK47"/>
      <c r="BL47"/>
      <c r="BM47"/>
      <c r="BN47" s="350"/>
      <c r="BO47" s="350"/>
      <c r="BP47" s="350"/>
      <c r="BQ47" s="350"/>
      <c r="BR47" s="350"/>
    </row>
    <row r="48" spans="1:70" ht="11.25" customHeight="1">
      <c r="A48" s="422">
        <v>23000</v>
      </c>
      <c r="B48" s="423" t="s">
        <v>91</v>
      </c>
      <c r="G48" s="345"/>
      <c r="H48" s="29"/>
      <c r="I48" s="29"/>
      <c r="J48" s="29"/>
      <c r="K48" s="29"/>
      <c r="L48" s="474"/>
      <c r="M48" s="472"/>
      <c r="N48" s="473"/>
      <c r="O48" s="448"/>
      <c r="P48" s="509">
        <v>3652.223355365546</v>
      </c>
      <c r="Q48" s="506">
        <f t="shared" si="14"/>
        <v>0.058073238499768434</v>
      </c>
      <c r="R48" s="512">
        <v>1510.1323996175906</v>
      </c>
      <c r="S48" s="506">
        <f t="shared" si="14"/>
        <v>0.04394004272024896</v>
      </c>
      <c r="T48" s="512">
        <v>156.9478628117914</v>
      </c>
      <c r="U48" s="506">
        <f>T48/T$36</f>
        <v>0.026864218151707413</v>
      </c>
      <c r="V48" s="517">
        <f t="shared" si="15"/>
        <v>5319.303617794928</v>
      </c>
      <c r="W48" s="515">
        <f t="shared" si="16"/>
        <v>0.05159351227919756</v>
      </c>
      <c r="Y48" s="525">
        <v>257</v>
      </c>
      <c r="Z48" s="506">
        <f t="shared" si="17"/>
        <v>0.017760884588804423</v>
      </c>
      <c r="AA48" s="512">
        <v>87</v>
      </c>
      <c r="AB48" s="506">
        <f t="shared" si="18"/>
        <v>0.008701740348069614</v>
      </c>
      <c r="AC48" s="512">
        <v>26</v>
      </c>
      <c r="AD48" s="506">
        <f t="shared" si="19"/>
        <v>0.008354755784061696</v>
      </c>
      <c r="AE48" s="512">
        <f t="shared" si="20"/>
        <v>370</v>
      </c>
      <c r="AF48" s="32">
        <f t="shared" si="21"/>
        <v>0.013415518491660623</v>
      </c>
      <c r="AG48" s="509"/>
      <c r="AH48" s="506">
        <f t="shared" si="22"/>
        <v>0</v>
      </c>
      <c r="AI48" s="512">
        <v>0</v>
      </c>
      <c r="AJ48" s="506">
        <f t="shared" si="23"/>
        <v>0</v>
      </c>
      <c r="AK48" s="512"/>
      <c r="AL48" s="506">
        <f t="shared" si="24"/>
        <v>0</v>
      </c>
      <c r="AM48" s="512">
        <f t="shared" si="25"/>
        <v>0</v>
      </c>
      <c r="AN48" s="438">
        <f t="shared" si="26"/>
        <v>0</v>
      </c>
      <c r="AO48" s="509">
        <v>16889.16</v>
      </c>
      <c r="AP48" s="506">
        <f t="shared" si="27"/>
        <v>0.04626688989839187</v>
      </c>
      <c r="AQ48" s="512">
        <v>31708.74</v>
      </c>
      <c r="AR48" s="506">
        <f t="shared" si="28"/>
        <v>0.03796390175514416</v>
      </c>
      <c r="AS48" s="512">
        <v>4117.74</v>
      </c>
      <c r="AT48" s="506">
        <f t="shared" si="29"/>
        <v>0.04125953949121911</v>
      </c>
      <c r="AU48" s="512">
        <f t="shared" si="30"/>
        <v>52715.64</v>
      </c>
      <c r="AV48" s="438">
        <f t="shared" si="31"/>
        <v>0.040548227845121874</v>
      </c>
      <c r="AW48" s="509">
        <v>23242.74</v>
      </c>
      <c r="AX48" s="506">
        <f t="shared" si="32"/>
        <v>0.03985074671392689</v>
      </c>
      <c r="AY48" s="512">
        <v>4324.8</v>
      </c>
      <c r="AZ48" s="506">
        <f t="shared" si="33"/>
        <v>0.005741420076426947</v>
      </c>
      <c r="BA48" s="512">
        <v>0</v>
      </c>
      <c r="BB48" s="506">
        <f t="shared" si="34"/>
        <v>0</v>
      </c>
      <c r="BC48" s="512">
        <f t="shared" si="35"/>
        <v>27567.54</v>
      </c>
      <c r="BD48" s="515">
        <f t="shared" si="36"/>
        <v>0.020201432335350194</v>
      </c>
      <c r="BE48" s="338"/>
      <c r="BF48"/>
      <c r="BG48"/>
      <c r="BH48"/>
      <c r="BI48"/>
      <c r="BJ48"/>
      <c r="BK48"/>
      <c r="BL48"/>
      <c r="BM48"/>
      <c r="BN48" s="350"/>
      <c r="BO48" s="350"/>
      <c r="BP48" s="350"/>
      <c r="BQ48" s="350"/>
      <c r="BR48" s="350"/>
    </row>
    <row r="49" spans="1:70" ht="11.25" customHeight="1">
      <c r="A49" s="422">
        <v>24000</v>
      </c>
      <c r="B49" s="423" t="s">
        <v>92</v>
      </c>
      <c r="G49" s="345"/>
      <c r="H49" s="29"/>
      <c r="I49" s="29"/>
      <c r="J49" s="29"/>
      <c r="K49" s="29"/>
      <c r="L49" s="474"/>
      <c r="M49" s="472"/>
      <c r="N49" s="473"/>
      <c r="O49" s="448"/>
      <c r="P49" s="509">
        <v>1793.4157875477356</v>
      </c>
      <c r="Q49" s="506">
        <f t="shared" si="14"/>
        <v>0.028516728750037114</v>
      </c>
      <c r="R49" s="512">
        <v>751.521038961039</v>
      </c>
      <c r="S49" s="506">
        <f t="shared" si="14"/>
        <v>0.021866868471583045</v>
      </c>
      <c r="T49" s="512">
        <v>60.072427983539065</v>
      </c>
      <c r="U49" s="506">
        <f>T49/T$36</f>
        <v>0.010282387930237447</v>
      </c>
      <c r="V49" s="517">
        <f t="shared" si="15"/>
        <v>2605.0092544923136</v>
      </c>
      <c r="W49" s="515">
        <f t="shared" si="16"/>
        <v>0.025266761707200217</v>
      </c>
      <c r="Y49" s="525">
        <v>301</v>
      </c>
      <c r="Z49" s="506">
        <f t="shared" si="17"/>
        <v>0.020801658604008292</v>
      </c>
      <c r="AA49" s="512">
        <v>124</v>
      </c>
      <c r="AB49" s="506">
        <f t="shared" si="18"/>
        <v>0.01240248049609922</v>
      </c>
      <c r="AC49" s="512">
        <v>42</v>
      </c>
      <c r="AD49" s="506">
        <f t="shared" si="19"/>
        <v>0.013496143958868894</v>
      </c>
      <c r="AE49" s="512">
        <f t="shared" si="20"/>
        <v>467</v>
      </c>
      <c r="AF49" s="32">
        <f t="shared" si="21"/>
        <v>0.01693255982596084</v>
      </c>
      <c r="AG49" s="509">
        <v>3</v>
      </c>
      <c r="AH49" s="506">
        <f t="shared" si="22"/>
        <v>0.01079136690647482</v>
      </c>
      <c r="AI49" s="512">
        <v>1</v>
      </c>
      <c r="AJ49" s="506">
        <f t="shared" si="23"/>
        <v>0.0003057169061449098</v>
      </c>
      <c r="AK49" s="512">
        <v>1</v>
      </c>
      <c r="AL49" s="506">
        <f t="shared" si="24"/>
        <v>0.006369426751592357</v>
      </c>
      <c r="AM49" s="512">
        <f t="shared" si="25"/>
        <v>5</v>
      </c>
      <c r="AN49" s="438">
        <f t="shared" si="26"/>
        <v>0.0013491635186184566</v>
      </c>
      <c r="AO49" s="509">
        <v>15380.88</v>
      </c>
      <c r="AP49" s="506">
        <f t="shared" si="27"/>
        <v>0.042135042921043885</v>
      </c>
      <c r="AQ49" s="512">
        <v>13502.159999999998</v>
      </c>
      <c r="AR49" s="506">
        <f t="shared" si="28"/>
        <v>0.016165721997223388</v>
      </c>
      <c r="AS49" s="512">
        <v>6287.099999999999</v>
      </c>
      <c r="AT49" s="506">
        <f t="shared" si="29"/>
        <v>0.06299641325951703</v>
      </c>
      <c r="AU49" s="512">
        <f t="shared" si="30"/>
        <v>35170.14</v>
      </c>
      <c r="AV49" s="438">
        <f t="shared" si="31"/>
        <v>0.027052443071256174</v>
      </c>
      <c r="AW49" s="509">
        <v>13128.24</v>
      </c>
      <c r="AX49" s="506">
        <f t="shared" si="32"/>
        <v>0.02250897127617671</v>
      </c>
      <c r="AY49" s="512">
        <v>5433.24</v>
      </c>
      <c r="AZ49" s="506">
        <f t="shared" si="33"/>
        <v>0.007212937758057238</v>
      </c>
      <c r="BA49" s="512">
        <v>1236.8999999999999</v>
      </c>
      <c r="BB49" s="506">
        <f t="shared" si="34"/>
        <v>0.04397860411931859</v>
      </c>
      <c r="BC49" s="512">
        <f t="shared" si="35"/>
        <v>19798.38</v>
      </c>
      <c r="BD49" s="515">
        <f t="shared" si="36"/>
        <v>0.014508209071957476</v>
      </c>
      <c r="BE49" s="338"/>
      <c r="BF49"/>
      <c r="BG49"/>
      <c r="BH49"/>
      <c r="BI49"/>
      <c r="BJ49"/>
      <c r="BK49"/>
      <c r="BL49"/>
      <c r="BM49"/>
      <c r="BN49" s="350"/>
      <c r="BO49" s="350"/>
      <c r="BP49" s="350"/>
      <c r="BQ49" s="350"/>
      <c r="BR49" s="350"/>
    </row>
    <row r="50" spans="1:70" ht="11.25" customHeight="1">
      <c r="A50" s="422">
        <v>25000</v>
      </c>
      <c r="B50" s="423" t="s">
        <v>93</v>
      </c>
      <c r="G50" s="345"/>
      <c r="H50" s="29"/>
      <c r="I50" s="29"/>
      <c r="J50" s="29"/>
      <c r="K50" s="29"/>
      <c r="L50" s="474"/>
      <c r="M50" s="472"/>
      <c r="N50" s="473"/>
      <c r="O50" s="448"/>
      <c r="P50" s="509">
        <v>2216.241046889552</v>
      </c>
      <c r="Q50" s="506">
        <f t="shared" si="14"/>
        <v>0.03523998462468394</v>
      </c>
      <c r="R50" s="512">
        <v>568.5574087078652</v>
      </c>
      <c r="S50" s="506">
        <f t="shared" si="14"/>
        <v>0.016543209611199605</v>
      </c>
      <c r="T50" s="512">
        <v>132.3496875</v>
      </c>
      <c r="U50" s="506">
        <f>T50/T$36</f>
        <v>0.02265383429638637</v>
      </c>
      <c r="V50" s="517">
        <f t="shared" si="15"/>
        <v>2917.1481430974172</v>
      </c>
      <c r="W50" s="515">
        <f t="shared" si="16"/>
        <v>0.02829428988366825</v>
      </c>
      <c r="Y50" s="525">
        <v>140</v>
      </c>
      <c r="Z50" s="506">
        <f t="shared" si="17"/>
        <v>0.009675190048375951</v>
      </c>
      <c r="AA50" s="512">
        <v>39</v>
      </c>
      <c r="AB50" s="506">
        <f t="shared" si="18"/>
        <v>0.003900780156031206</v>
      </c>
      <c r="AC50" s="512">
        <v>40</v>
      </c>
      <c r="AD50" s="506">
        <f t="shared" si="19"/>
        <v>0.012853470437017995</v>
      </c>
      <c r="AE50" s="512">
        <f t="shared" si="20"/>
        <v>219</v>
      </c>
      <c r="AF50" s="32">
        <f t="shared" si="21"/>
        <v>0.007940536620739666</v>
      </c>
      <c r="AG50" s="509">
        <v>1</v>
      </c>
      <c r="AH50" s="506">
        <f t="shared" si="22"/>
        <v>0.0035971223021582736</v>
      </c>
      <c r="AI50" s="512">
        <v>0</v>
      </c>
      <c r="AJ50" s="506">
        <f t="shared" si="23"/>
        <v>0</v>
      </c>
      <c r="AK50" s="512"/>
      <c r="AL50" s="506">
        <f t="shared" si="24"/>
        <v>0</v>
      </c>
      <c r="AM50" s="512">
        <f t="shared" si="25"/>
        <v>1</v>
      </c>
      <c r="AN50" s="438">
        <f t="shared" si="26"/>
        <v>0.0002698327037236913</v>
      </c>
      <c r="AO50" s="509">
        <v>13046.82</v>
      </c>
      <c r="AP50" s="506">
        <f t="shared" si="27"/>
        <v>0.03574101876375954</v>
      </c>
      <c r="AQ50" s="512">
        <v>10131.66</v>
      </c>
      <c r="AR50" s="506">
        <f t="shared" si="28"/>
        <v>0.01213032573531852</v>
      </c>
      <c r="AS50" s="512">
        <v>2087.94</v>
      </c>
      <c r="AT50" s="506">
        <f t="shared" si="29"/>
        <v>0.020921049625594632</v>
      </c>
      <c r="AU50" s="512">
        <f t="shared" si="30"/>
        <v>25266.42</v>
      </c>
      <c r="AV50" s="438">
        <f t="shared" si="31"/>
        <v>0.019434622343398357</v>
      </c>
      <c r="AW50" s="509">
        <v>19494.24</v>
      </c>
      <c r="AX50" s="506">
        <f t="shared" si="32"/>
        <v>0.033423771062297394</v>
      </c>
      <c r="AY50" s="512">
        <v>5050.02</v>
      </c>
      <c r="AZ50" s="506">
        <f t="shared" si="33"/>
        <v>0.006704191226035334</v>
      </c>
      <c r="BA50" s="512">
        <v>724.2</v>
      </c>
      <c r="BB50" s="506">
        <f t="shared" si="34"/>
        <v>0.025749296712111347</v>
      </c>
      <c r="BC50" s="512">
        <f t="shared" si="35"/>
        <v>25268.460000000003</v>
      </c>
      <c r="BD50" s="515">
        <f t="shared" si="36"/>
        <v>0.01851667159668592</v>
      </c>
      <c r="BE50" s="338"/>
      <c r="BF50"/>
      <c r="BG50"/>
      <c r="BH50"/>
      <c r="BI50"/>
      <c r="BJ50"/>
      <c r="BK50"/>
      <c r="BL50"/>
      <c r="BM50"/>
      <c r="BN50" s="350"/>
      <c r="BO50" s="350"/>
      <c r="BP50" s="350"/>
      <c r="BQ50" s="350"/>
      <c r="BR50" s="350"/>
    </row>
    <row r="51" spans="1:70" ht="11.25" customHeight="1">
      <c r="A51" s="422">
        <v>26000</v>
      </c>
      <c r="B51" s="423" t="s">
        <v>94</v>
      </c>
      <c r="G51" s="345"/>
      <c r="H51" s="29"/>
      <c r="I51" s="29"/>
      <c r="J51" s="29"/>
      <c r="K51" s="29"/>
      <c r="L51" s="474"/>
      <c r="M51" s="472"/>
      <c r="N51" s="473"/>
      <c r="O51" s="448"/>
      <c r="P51" s="509">
        <v>4220.056967324028</v>
      </c>
      <c r="Q51" s="506">
        <f t="shared" si="14"/>
        <v>0.06710224181277895</v>
      </c>
      <c r="R51" s="512">
        <v>1933.772655487805</v>
      </c>
      <c r="S51" s="506">
        <f t="shared" si="14"/>
        <v>0.05626662477733761</v>
      </c>
      <c r="T51" s="512">
        <v>363.3389862244898</v>
      </c>
      <c r="U51" s="506">
        <f>T51/T$36</f>
        <v>0.06219146673350932</v>
      </c>
      <c r="V51" s="517">
        <f t="shared" si="15"/>
        <v>6517.168609036322</v>
      </c>
      <c r="W51" s="515">
        <f t="shared" si="16"/>
        <v>0.06321196209426062</v>
      </c>
      <c r="Y51" s="525">
        <v>1808</v>
      </c>
      <c r="Z51" s="506">
        <f t="shared" si="17"/>
        <v>0.12494816862474084</v>
      </c>
      <c r="AA51" s="512">
        <v>680</v>
      </c>
      <c r="AB51" s="506">
        <f t="shared" si="18"/>
        <v>0.0680136027205441</v>
      </c>
      <c r="AC51" s="512">
        <v>208</v>
      </c>
      <c r="AD51" s="506">
        <f t="shared" si="19"/>
        <v>0.06683804627249357</v>
      </c>
      <c r="AE51" s="512">
        <f t="shared" si="20"/>
        <v>2696</v>
      </c>
      <c r="AF51" s="32">
        <f t="shared" si="21"/>
        <v>0.09775199419869471</v>
      </c>
      <c r="AG51" s="509">
        <v>4</v>
      </c>
      <c r="AH51" s="506">
        <f t="shared" si="22"/>
        <v>0.014388489208633094</v>
      </c>
      <c r="AI51" s="512">
        <v>10</v>
      </c>
      <c r="AJ51" s="506">
        <f t="shared" si="23"/>
        <v>0.003057169061449098</v>
      </c>
      <c r="AK51" s="512">
        <v>4</v>
      </c>
      <c r="AL51" s="506">
        <f t="shared" si="24"/>
        <v>0.025477707006369428</v>
      </c>
      <c r="AM51" s="512">
        <f t="shared" si="25"/>
        <v>18</v>
      </c>
      <c r="AN51" s="438">
        <f t="shared" si="26"/>
        <v>0.004856988667026443</v>
      </c>
      <c r="AO51" s="509">
        <v>24258.059999999998</v>
      </c>
      <c r="AP51" s="506">
        <f t="shared" si="27"/>
        <v>0.0664535708802915</v>
      </c>
      <c r="AQ51" s="512">
        <v>66940.79999999999</v>
      </c>
      <c r="AR51" s="506">
        <f t="shared" si="28"/>
        <v>0.08014616647053</v>
      </c>
      <c r="AS51" s="512">
        <v>13856.699999999999</v>
      </c>
      <c r="AT51" s="506">
        <f t="shared" si="29"/>
        <v>0.13884340945955204</v>
      </c>
      <c r="AU51" s="512">
        <f t="shared" si="30"/>
        <v>105055.55999999998</v>
      </c>
      <c r="AV51" s="438">
        <f t="shared" si="31"/>
        <v>0.08080745644512466</v>
      </c>
      <c r="AW51" s="509">
        <v>36558.659999999996</v>
      </c>
      <c r="AX51" s="506">
        <f t="shared" si="32"/>
        <v>0.06268150398191306</v>
      </c>
      <c r="AY51" s="512">
        <v>51702.42</v>
      </c>
      <c r="AZ51" s="506">
        <f t="shared" si="33"/>
        <v>0.06863792827133233</v>
      </c>
      <c r="BA51" s="512">
        <v>1249.4399999999998</v>
      </c>
      <c r="BB51" s="506">
        <f t="shared" si="34"/>
        <v>0.044424470151864674</v>
      </c>
      <c r="BC51" s="512">
        <f t="shared" si="35"/>
        <v>89510.51999999999</v>
      </c>
      <c r="BD51" s="515">
        <f t="shared" si="36"/>
        <v>0.06559311106765457</v>
      </c>
      <c r="BE51" s="338"/>
      <c r="BF51"/>
      <c r="BG51"/>
      <c r="BH51"/>
      <c r="BI51"/>
      <c r="BJ51"/>
      <c r="BK51"/>
      <c r="BL51"/>
      <c r="BM51"/>
      <c r="BN51" s="350"/>
      <c r="BO51" s="350"/>
      <c r="BP51" s="350"/>
      <c r="BQ51" s="350"/>
      <c r="BR51" s="350"/>
    </row>
    <row r="52" spans="1:70" ht="11.25" customHeight="1">
      <c r="A52" s="422">
        <v>27000</v>
      </c>
      <c r="B52" s="423" t="s">
        <v>95</v>
      </c>
      <c r="G52" s="345"/>
      <c r="H52" s="29"/>
      <c r="I52" s="29"/>
      <c r="J52" s="29"/>
      <c r="K52" s="29"/>
      <c r="L52" s="474"/>
      <c r="M52" s="472"/>
      <c r="N52" s="473"/>
      <c r="O52" s="448"/>
      <c r="P52" s="509">
        <v>3824.6316572684213</v>
      </c>
      <c r="Q52" s="506">
        <f t="shared" si="14"/>
        <v>0.060814666791944624</v>
      </c>
      <c r="R52" s="512">
        <v>1439.0362167643084</v>
      </c>
      <c r="S52" s="506">
        <f t="shared" si="14"/>
        <v>0.04187137025642332</v>
      </c>
      <c r="T52" s="512">
        <v>241.16730483545163</v>
      </c>
      <c r="U52" s="506">
        <f>T52/T$36</f>
        <v>0.04127976623630805</v>
      </c>
      <c r="V52" s="517">
        <f t="shared" si="15"/>
        <v>5504.835178868181</v>
      </c>
      <c r="W52" s="515">
        <f t="shared" si="16"/>
        <v>0.0533930382251107</v>
      </c>
      <c r="Y52" s="525">
        <v>698</v>
      </c>
      <c r="Z52" s="506">
        <f t="shared" si="17"/>
        <v>0.048237733241188664</v>
      </c>
      <c r="AA52" s="512">
        <v>353</v>
      </c>
      <c r="AB52" s="506">
        <f t="shared" si="18"/>
        <v>0.03530706141228246</v>
      </c>
      <c r="AC52" s="512">
        <v>127</v>
      </c>
      <c r="AD52" s="506">
        <f t="shared" si="19"/>
        <v>0.040809768637532134</v>
      </c>
      <c r="AE52" s="512">
        <f t="shared" si="20"/>
        <v>1178</v>
      </c>
      <c r="AF52" s="32">
        <f t="shared" si="21"/>
        <v>0.04271211022480058</v>
      </c>
      <c r="AG52" s="509">
        <v>17</v>
      </c>
      <c r="AH52" s="506">
        <f t="shared" si="22"/>
        <v>0.06115107913669065</v>
      </c>
      <c r="AI52" s="512">
        <v>1</v>
      </c>
      <c r="AJ52" s="506">
        <f t="shared" si="23"/>
        <v>0.0003057169061449098</v>
      </c>
      <c r="AK52" s="512">
        <v>17</v>
      </c>
      <c r="AL52" s="506">
        <f t="shared" si="24"/>
        <v>0.10828025477707007</v>
      </c>
      <c r="AM52" s="512">
        <f t="shared" si="25"/>
        <v>35</v>
      </c>
      <c r="AN52" s="438">
        <f t="shared" si="26"/>
        <v>0.009444144630329197</v>
      </c>
      <c r="AO52" s="509">
        <v>9083.519999999999</v>
      </c>
      <c r="AP52" s="506">
        <f t="shared" si="27"/>
        <v>0.024883784612724405</v>
      </c>
      <c r="AQ52" s="512">
        <v>24761.94</v>
      </c>
      <c r="AR52" s="506">
        <f t="shared" si="28"/>
        <v>0.029646711204127763</v>
      </c>
      <c r="AS52" s="512">
        <v>7668.78</v>
      </c>
      <c r="AT52" s="506">
        <f t="shared" si="29"/>
        <v>0.07684077461410174</v>
      </c>
      <c r="AU52" s="512">
        <f t="shared" si="30"/>
        <v>41514.24</v>
      </c>
      <c r="AV52" s="438">
        <f t="shared" si="31"/>
        <v>0.03193224747602556</v>
      </c>
      <c r="AW52" s="509">
        <v>44384.759999999995</v>
      </c>
      <c r="AX52" s="506">
        <f t="shared" si="32"/>
        <v>0.07609971237119346</v>
      </c>
      <c r="AY52" s="512">
        <v>7146.659999999999</v>
      </c>
      <c r="AZ52" s="506">
        <f t="shared" si="33"/>
        <v>0.00948760109216551</v>
      </c>
      <c r="BA52" s="512">
        <v>1031.6999999999998</v>
      </c>
      <c r="BB52" s="506">
        <f t="shared" si="34"/>
        <v>0.03668261449583716</v>
      </c>
      <c r="BC52" s="512">
        <f t="shared" si="35"/>
        <v>52563.11999999999</v>
      </c>
      <c r="BD52" s="515">
        <f t="shared" si="36"/>
        <v>0.038518138071619454</v>
      </c>
      <c r="BE52" s="338"/>
      <c r="BF52"/>
      <c r="BG52"/>
      <c r="BH52"/>
      <c r="BI52"/>
      <c r="BJ52"/>
      <c r="BK52"/>
      <c r="BL52"/>
      <c r="BM52"/>
      <c r="BN52" s="350"/>
      <c r="BO52" s="350"/>
      <c r="BP52" s="350"/>
      <c r="BQ52" s="350"/>
      <c r="BR52" s="350"/>
    </row>
    <row r="53" spans="1:70" ht="11.25" customHeight="1">
      <c r="A53" s="422">
        <v>28000</v>
      </c>
      <c r="B53" s="423" t="s">
        <v>96</v>
      </c>
      <c r="G53" s="345"/>
      <c r="H53" s="29"/>
      <c r="I53" s="29"/>
      <c r="J53" s="29"/>
      <c r="K53" s="29"/>
      <c r="L53" s="474"/>
      <c r="M53" s="472"/>
      <c r="N53" s="473"/>
      <c r="O53" s="448"/>
      <c r="P53" s="509">
        <v>3742.864513907049</v>
      </c>
      <c r="Q53" s="506">
        <f t="shared" si="14"/>
        <v>0.05951450457407433</v>
      </c>
      <c r="R53" s="512">
        <v>1186.6747629310344</v>
      </c>
      <c r="S53" s="506">
        <f t="shared" si="14"/>
        <v>0.03452845577741062</v>
      </c>
      <c r="T53" s="512">
        <v>93.61615504682621</v>
      </c>
      <c r="U53" s="506">
        <f>T53/T$36</f>
        <v>0.016023950671554217</v>
      </c>
      <c r="V53" s="517">
        <f t="shared" si="15"/>
        <v>5023.155431884909</v>
      </c>
      <c r="W53" s="515">
        <f t="shared" si="16"/>
        <v>0.04872108269741999</v>
      </c>
      <c r="Y53" s="525">
        <v>387</v>
      </c>
      <c r="Z53" s="506">
        <f t="shared" si="17"/>
        <v>0.026744989633724948</v>
      </c>
      <c r="AA53" s="512">
        <v>271</v>
      </c>
      <c r="AB53" s="506">
        <f t="shared" si="18"/>
        <v>0.027105421084216843</v>
      </c>
      <c r="AC53" s="512">
        <v>69</v>
      </c>
      <c r="AD53" s="506">
        <f t="shared" si="19"/>
        <v>0.02217223650385604</v>
      </c>
      <c r="AE53" s="512">
        <f t="shared" si="20"/>
        <v>727</v>
      </c>
      <c r="AF53" s="32">
        <f t="shared" si="21"/>
        <v>0.026359680928208847</v>
      </c>
      <c r="AG53" s="509">
        <v>7</v>
      </c>
      <c r="AH53" s="506">
        <f t="shared" si="22"/>
        <v>0.025179856115107913</v>
      </c>
      <c r="AI53" s="512">
        <v>15</v>
      </c>
      <c r="AJ53" s="506">
        <f t="shared" si="23"/>
        <v>0.0045857535921736475</v>
      </c>
      <c r="AK53" s="512">
        <v>17</v>
      </c>
      <c r="AL53" s="506">
        <f t="shared" si="24"/>
        <v>0.10828025477707007</v>
      </c>
      <c r="AM53" s="512">
        <f t="shared" si="25"/>
        <v>39</v>
      </c>
      <c r="AN53" s="438">
        <f t="shared" si="26"/>
        <v>0.010523475445223961</v>
      </c>
      <c r="AO53" s="509">
        <v>13998.48</v>
      </c>
      <c r="AP53" s="506">
        <f t="shared" si="27"/>
        <v>0.03834803701929762</v>
      </c>
      <c r="AQ53" s="512">
        <v>16350.6</v>
      </c>
      <c r="AR53" s="506">
        <f t="shared" si="28"/>
        <v>0.01957607183501016</v>
      </c>
      <c r="AS53" s="512">
        <v>2747.88</v>
      </c>
      <c r="AT53" s="506">
        <f t="shared" si="29"/>
        <v>0.027533613918589123</v>
      </c>
      <c r="AU53" s="512">
        <f t="shared" si="30"/>
        <v>33096.96</v>
      </c>
      <c r="AV53" s="438">
        <f t="shared" si="31"/>
        <v>0.025457778280997535</v>
      </c>
      <c r="AW53" s="509">
        <v>14616.6</v>
      </c>
      <c r="AX53" s="506">
        <f t="shared" si="32"/>
        <v>0.02506083294907501</v>
      </c>
      <c r="AY53" s="512">
        <v>1306.6200000000001</v>
      </c>
      <c r="AZ53" s="506">
        <f t="shared" si="33"/>
        <v>0.0017346129995054055</v>
      </c>
      <c r="BA53" s="512">
        <v>744.6</v>
      </c>
      <c r="BB53" s="506">
        <f t="shared" si="34"/>
        <v>0.02647462901386096</v>
      </c>
      <c r="BC53" s="512">
        <f t="shared" si="35"/>
        <v>16667.82</v>
      </c>
      <c r="BD53" s="515">
        <f t="shared" si="36"/>
        <v>0.012214141628444057</v>
      </c>
      <c r="BE53" s="338"/>
      <c r="BF53"/>
      <c r="BG53"/>
      <c r="BH53"/>
      <c r="BI53"/>
      <c r="BJ53"/>
      <c r="BK53"/>
      <c r="BL53"/>
      <c r="BM53"/>
      <c r="BN53" s="350"/>
      <c r="BO53" s="350"/>
      <c r="BP53" s="350"/>
      <c r="BQ53" s="350"/>
      <c r="BR53" s="350"/>
    </row>
    <row r="54" spans="1:70" ht="11.25" customHeight="1">
      <c r="A54" s="422">
        <v>31000</v>
      </c>
      <c r="B54" s="423" t="s">
        <v>97</v>
      </c>
      <c r="G54" s="345"/>
      <c r="H54" s="29"/>
      <c r="I54" s="29"/>
      <c r="J54" s="29"/>
      <c r="K54" s="29"/>
      <c r="L54" s="474"/>
      <c r="M54" s="472"/>
      <c r="N54" s="473"/>
      <c r="O54" s="448"/>
      <c r="P54" s="509">
        <v>2662.2247096907613</v>
      </c>
      <c r="Q54" s="506">
        <f t="shared" si="14"/>
        <v>0.042331477421477214</v>
      </c>
      <c r="R54" s="512">
        <v>1129.0691454545456</v>
      </c>
      <c r="S54" s="506">
        <f t="shared" si="14"/>
        <v>0.032852315795589025</v>
      </c>
      <c r="T54" s="512">
        <v>92.76777882797732</v>
      </c>
      <c r="U54" s="506">
        <f>T54/T$36</f>
        <v>0.015878737073805473</v>
      </c>
      <c r="V54" s="517">
        <f t="shared" si="15"/>
        <v>3884.0616339732846</v>
      </c>
      <c r="W54" s="515">
        <f t="shared" si="16"/>
        <v>0.03767267221505806</v>
      </c>
      <c r="Y54" s="525">
        <v>1944</v>
      </c>
      <c r="Z54" s="506">
        <f t="shared" si="17"/>
        <v>0.13434692467173462</v>
      </c>
      <c r="AA54" s="512">
        <v>1189</v>
      </c>
      <c r="AB54" s="506">
        <f t="shared" si="18"/>
        <v>0.1189237847569514</v>
      </c>
      <c r="AC54" s="512">
        <v>92</v>
      </c>
      <c r="AD54" s="506">
        <f t="shared" si="19"/>
        <v>0.02956298200514139</v>
      </c>
      <c r="AE54" s="512">
        <f t="shared" si="20"/>
        <v>3225</v>
      </c>
      <c r="AF54" s="32">
        <f t="shared" si="21"/>
        <v>0.11693255982596085</v>
      </c>
      <c r="AG54" s="509"/>
      <c r="AH54" s="506">
        <f t="shared" si="22"/>
        <v>0</v>
      </c>
      <c r="AI54" s="512">
        <v>1</v>
      </c>
      <c r="AJ54" s="506">
        <f t="shared" si="23"/>
        <v>0.0003057169061449098</v>
      </c>
      <c r="AK54" s="512">
        <v>11</v>
      </c>
      <c r="AL54" s="506">
        <f t="shared" si="24"/>
        <v>0.07006369426751592</v>
      </c>
      <c r="AM54" s="512">
        <f t="shared" si="25"/>
        <v>12</v>
      </c>
      <c r="AN54" s="438">
        <f t="shared" si="26"/>
        <v>0.0032379924446842958</v>
      </c>
      <c r="AO54" s="509">
        <v>3899.9399999999996</v>
      </c>
      <c r="AP54" s="506">
        <f t="shared" si="27"/>
        <v>0.010683663047205093</v>
      </c>
      <c r="AQ54" s="512">
        <v>76486.01999999999</v>
      </c>
      <c r="AR54" s="506">
        <f t="shared" si="28"/>
        <v>0.09157436558254886</v>
      </c>
      <c r="AS54" s="512">
        <v>1299.6</v>
      </c>
      <c r="AT54" s="506">
        <f t="shared" si="29"/>
        <v>0.013021924046391554</v>
      </c>
      <c r="AU54" s="512">
        <f t="shared" si="30"/>
        <v>81685.56</v>
      </c>
      <c r="AV54" s="438">
        <f t="shared" si="31"/>
        <v>0.06283153725415026</v>
      </c>
      <c r="AW54" s="509">
        <v>30522.359999999997</v>
      </c>
      <c r="AX54" s="506">
        <f t="shared" si="32"/>
        <v>0.0523319900094091</v>
      </c>
      <c r="AY54" s="512">
        <v>59168.27999999999</v>
      </c>
      <c r="AZ54" s="506">
        <f t="shared" si="33"/>
        <v>0.07854928567324522</v>
      </c>
      <c r="BA54" s="512">
        <v>402.41999999999996</v>
      </c>
      <c r="BB54" s="506">
        <f t="shared" si="34"/>
        <v>0.014308246317160793</v>
      </c>
      <c r="BC54" s="512">
        <f t="shared" si="35"/>
        <v>90093.05999999998</v>
      </c>
      <c r="BD54" s="515">
        <f t="shared" si="36"/>
        <v>0.06601999509113417</v>
      </c>
      <c r="BE54" s="338"/>
      <c r="BF54"/>
      <c r="BG54"/>
      <c r="BH54"/>
      <c r="BI54"/>
      <c r="BJ54"/>
      <c r="BK54"/>
      <c r="BL54"/>
      <c r="BM54"/>
      <c r="BN54" s="350"/>
      <c r="BO54" s="350"/>
      <c r="BP54" s="350"/>
      <c r="BQ54" s="350"/>
      <c r="BR54" s="350"/>
    </row>
    <row r="55" spans="1:70" ht="11.25" customHeight="1">
      <c r="A55" s="422">
        <v>41000</v>
      </c>
      <c r="B55" s="423" t="s">
        <v>98</v>
      </c>
      <c r="G55" s="345"/>
      <c r="H55" s="29"/>
      <c r="I55" s="29"/>
      <c r="J55" s="29"/>
      <c r="K55" s="29"/>
      <c r="L55" s="474"/>
      <c r="M55" s="472"/>
      <c r="N55" s="473"/>
      <c r="O55" s="448"/>
      <c r="P55" s="509">
        <v>4230.4371125865855</v>
      </c>
      <c r="Q55" s="506">
        <f t="shared" si="14"/>
        <v>0.06726729432814857</v>
      </c>
      <c r="R55" s="512">
        <v>1663.4378822055135</v>
      </c>
      <c r="S55" s="506">
        <f t="shared" si="14"/>
        <v>0.04840074395139103</v>
      </c>
      <c r="T55" s="512">
        <v>292.79042898792176</v>
      </c>
      <c r="U55" s="506">
        <f>T55/T$36</f>
        <v>0.050115916305886715</v>
      </c>
      <c r="V55" s="517">
        <f t="shared" si="15"/>
        <v>6186.66542378002</v>
      </c>
      <c r="W55" s="515">
        <f t="shared" si="16"/>
        <v>0.060006313127393865</v>
      </c>
      <c r="Y55" s="525">
        <v>645</v>
      </c>
      <c r="Z55" s="506">
        <f t="shared" si="17"/>
        <v>0.04457498272287491</v>
      </c>
      <c r="AA55" s="512">
        <v>208</v>
      </c>
      <c r="AB55" s="506">
        <f t="shared" si="18"/>
        <v>0.02080416083216643</v>
      </c>
      <c r="AC55" s="512">
        <v>78</v>
      </c>
      <c r="AD55" s="506">
        <f t="shared" si="19"/>
        <v>0.02506426735218509</v>
      </c>
      <c r="AE55" s="512">
        <f t="shared" si="20"/>
        <v>931</v>
      </c>
      <c r="AF55" s="32">
        <f t="shared" si="21"/>
        <v>0.03375634517766497</v>
      </c>
      <c r="AG55" s="509">
        <v>4</v>
      </c>
      <c r="AH55" s="506">
        <f t="shared" si="22"/>
        <v>0.014388489208633094</v>
      </c>
      <c r="AI55" s="512">
        <v>11</v>
      </c>
      <c r="AJ55" s="506">
        <f t="shared" si="23"/>
        <v>0.003362885967594008</v>
      </c>
      <c r="AK55" s="512">
        <v>10</v>
      </c>
      <c r="AL55" s="506">
        <f t="shared" si="24"/>
        <v>0.06369426751592357</v>
      </c>
      <c r="AM55" s="512">
        <f t="shared" si="25"/>
        <v>25</v>
      </c>
      <c r="AN55" s="438">
        <f t="shared" si="26"/>
        <v>0.006745817593092283</v>
      </c>
      <c r="AO55" s="509">
        <v>11725</v>
      </c>
      <c r="AP55" s="506">
        <f t="shared" si="27"/>
        <v>0.032119968314507336</v>
      </c>
      <c r="AQ55" s="512">
        <v>56670</v>
      </c>
      <c r="AR55" s="506">
        <f t="shared" si="28"/>
        <v>0.06784925268124874</v>
      </c>
      <c r="AS55" s="512">
        <v>2209</v>
      </c>
      <c r="AT55" s="506">
        <f t="shared" si="29"/>
        <v>0.022134064495597832</v>
      </c>
      <c r="AU55" s="512">
        <f t="shared" si="30"/>
        <v>70604</v>
      </c>
      <c r="AV55" s="438">
        <f t="shared" si="31"/>
        <v>0.054307736352569844</v>
      </c>
      <c r="AW55" s="509">
        <v>10726</v>
      </c>
      <c r="AX55" s="506">
        <f t="shared" si="32"/>
        <v>0.018390220311958905</v>
      </c>
      <c r="AY55" s="512">
        <v>67850</v>
      </c>
      <c r="AZ55" s="506">
        <f t="shared" si="33"/>
        <v>0.09007476696854613</v>
      </c>
      <c r="BA55" s="512">
        <v>2874</v>
      </c>
      <c r="BB55" s="506">
        <f t="shared" si="34"/>
        <v>0.10218652133472522</v>
      </c>
      <c r="BC55" s="512">
        <f t="shared" si="35"/>
        <v>81450</v>
      </c>
      <c r="BD55" s="515">
        <f t="shared" si="36"/>
        <v>0.05968637984072113</v>
      </c>
      <c r="BE55" s="338"/>
      <c r="BF55"/>
      <c r="BG55"/>
      <c r="BH55"/>
      <c r="BI55"/>
      <c r="BJ55"/>
      <c r="BK55"/>
      <c r="BL55"/>
      <c r="BM55"/>
      <c r="BN55" s="350"/>
      <c r="BO55" s="350"/>
      <c r="BP55" s="350"/>
      <c r="BQ55" s="350"/>
      <c r="BR55" s="350"/>
    </row>
    <row r="56" spans="1:70" ht="11.25" customHeight="1">
      <c r="A56" s="422">
        <v>43000</v>
      </c>
      <c r="B56" s="423" t="s">
        <v>99</v>
      </c>
      <c r="G56" s="345"/>
      <c r="H56" s="29"/>
      <c r="I56" s="29"/>
      <c r="J56" s="29"/>
      <c r="K56" s="29"/>
      <c r="L56" s="474"/>
      <c r="M56" s="472"/>
      <c r="N56" s="473"/>
      <c r="O56" s="448"/>
      <c r="P56" s="509">
        <v>2674.4870690893263</v>
      </c>
      <c r="Q56" s="506">
        <f t="shared" si="14"/>
        <v>0.042526458629534095</v>
      </c>
      <c r="R56" s="512">
        <v>842.4212958494209</v>
      </c>
      <c r="S56" s="506">
        <f t="shared" si="14"/>
        <v>0.02451177640943574</v>
      </c>
      <c r="T56" s="512">
        <v>317.32441129401013</v>
      </c>
      <c r="U56" s="506">
        <f>T56/T$36</f>
        <v>0.054315312468364255</v>
      </c>
      <c r="V56" s="517">
        <f t="shared" si="15"/>
        <v>3834.2327762327573</v>
      </c>
      <c r="W56" s="515">
        <f t="shared" si="16"/>
        <v>0.037189367262301855</v>
      </c>
      <c r="Y56" s="525">
        <v>473</v>
      </c>
      <c r="Z56" s="506">
        <f t="shared" si="17"/>
        <v>0.0326883206634416</v>
      </c>
      <c r="AA56" s="512">
        <v>111</v>
      </c>
      <c r="AB56" s="506">
        <f t="shared" si="18"/>
        <v>0.011102220444088817</v>
      </c>
      <c r="AC56" s="512">
        <v>51</v>
      </c>
      <c r="AD56" s="506">
        <f t="shared" si="19"/>
        <v>0.016388174807197942</v>
      </c>
      <c r="AE56" s="512">
        <f t="shared" si="20"/>
        <v>635</v>
      </c>
      <c r="AF56" s="32">
        <f t="shared" si="21"/>
        <v>0.023023930384336477</v>
      </c>
      <c r="AG56" s="509">
        <v>6</v>
      </c>
      <c r="AH56" s="506">
        <f t="shared" si="22"/>
        <v>0.02158273381294964</v>
      </c>
      <c r="AI56" s="512">
        <v>5</v>
      </c>
      <c r="AJ56" s="506">
        <f t="shared" si="23"/>
        <v>0.001528584530724549</v>
      </c>
      <c r="AK56" s="512">
        <v>21</v>
      </c>
      <c r="AL56" s="506">
        <f t="shared" si="24"/>
        <v>0.1337579617834395</v>
      </c>
      <c r="AM56" s="512">
        <f t="shared" si="25"/>
        <v>32</v>
      </c>
      <c r="AN56" s="438">
        <f t="shared" si="26"/>
        <v>0.008634646519158122</v>
      </c>
      <c r="AO56" s="509">
        <v>10363</v>
      </c>
      <c r="AP56" s="506">
        <f t="shared" si="27"/>
        <v>0.028388847048463926</v>
      </c>
      <c r="AQ56" s="512">
        <v>23138</v>
      </c>
      <c r="AR56" s="506">
        <f t="shared" si="28"/>
        <v>0.027702417655527323</v>
      </c>
      <c r="AS56" s="512">
        <v>3266</v>
      </c>
      <c r="AT56" s="506">
        <f t="shared" si="29"/>
        <v>0.03272514922708127</v>
      </c>
      <c r="AU56" s="512">
        <f t="shared" si="30"/>
        <v>36767</v>
      </c>
      <c r="AV56" s="438">
        <f t="shared" si="31"/>
        <v>0.028280728322402915</v>
      </c>
      <c r="AW56" s="509">
        <v>27137</v>
      </c>
      <c r="AX56" s="506">
        <f t="shared" si="32"/>
        <v>0.04652763458937431</v>
      </c>
      <c r="AY56" s="512">
        <v>493</v>
      </c>
      <c r="AZ56" s="506">
        <f t="shared" si="33"/>
        <v>0.0006544857791524428</v>
      </c>
      <c r="BA56" s="512">
        <v>301</v>
      </c>
      <c r="BB56" s="506">
        <f t="shared" si="34"/>
        <v>0.0107022070013056</v>
      </c>
      <c r="BC56" s="512">
        <f t="shared" si="35"/>
        <v>27931</v>
      </c>
      <c r="BD56" s="515">
        <f t="shared" si="36"/>
        <v>0.020467775019412913</v>
      </c>
      <c r="BE56" s="338"/>
      <c r="BF56"/>
      <c r="BG56"/>
      <c r="BH56"/>
      <c r="BI56"/>
      <c r="BJ56"/>
      <c r="BK56"/>
      <c r="BL56"/>
      <c r="BM56"/>
      <c r="BN56" s="350"/>
      <c r="BO56" s="350"/>
      <c r="BP56" s="350"/>
      <c r="BQ56" s="350"/>
      <c r="BR56" s="350"/>
    </row>
    <row r="57" spans="1:70" ht="11.25" customHeight="1">
      <c r="A57" s="422">
        <v>51000</v>
      </c>
      <c r="B57" s="423" t="s">
        <v>100</v>
      </c>
      <c r="G57" s="345"/>
      <c r="H57" s="29"/>
      <c r="I57" s="29"/>
      <c r="J57" s="29"/>
      <c r="K57" s="29"/>
      <c r="L57" s="474"/>
      <c r="M57" s="472"/>
      <c r="N57" s="473"/>
      <c r="O57" s="448"/>
      <c r="P57" s="509">
        <v>933.8393628199373</v>
      </c>
      <c r="Q57" s="506">
        <f t="shared" si="14"/>
        <v>0.01484878408595744</v>
      </c>
      <c r="R57" s="512">
        <v>585.2158695652174</v>
      </c>
      <c r="S57" s="506">
        <f t="shared" si="14"/>
        <v>0.017027917761234006</v>
      </c>
      <c r="T57" s="512">
        <v>115.05000000000001</v>
      </c>
      <c r="U57" s="506">
        <f>T57/T$36</f>
        <v>0.019692707138422617</v>
      </c>
      <c r="V57" s="517">
        <f t="shared" si="15"/>
        <v>1634.1052323851547</v>
      </c>
      <c r="W57" s="515">
        <f t="shared" si="16"/>
        <v>0.015849674023216246</v>
      </c>
      <c r="Y57" s="525">
        <v>82</v>
      </c>
      <c r="Z57" s="506">
        <f t="shared" si="17"/>
        <v>0.0056668970283344855</v>
      </c>
      <c r="AA57" s="512">
        <v>70</v>
      </c>
      <c r="AB57" s="506">
        <f t="shared" si="18"/>
        <v>0.007001400280056011</v>
      </c>
      <c r="AC57" s="512">
        <v>24</v>
      </c>
      <c r="AD57" s="506">
        <f t="shared" si="19"/>
        <v>0.007712082262210797</v>
      </c>
      <c r="AE57" s="512">
        <f t="shared" si="20"/>
        <v>176</v>
      </c>
      <c r="AF57" s="32">
        <f t="shared" si="21"/>
        <v>0.006381435823060188</v>
      </c>
      <c r="AG57" s="509">
        <v>15</v>
      </c>
      <c r="AH57" s="506">
        <f t="shared" si="22"/>
        <v>0.0539568345323741</v>
      </c>
      <c r="AI57" s="512">
        <v>31</v>
      </c>
      <c r="AJ57" s="506">
        <f t="shared" si="23"/>
        <v>0.009477224090492203</v>
      </c>
      <c r="AK57" s="512"/>
      <c r="AL57" s="506">
        <f t="shared" si="24"/>
        <v>0</v>
      </c>
      <c r="AM57" s="512">
        <f t="shared" si="25"/>
        <v>46</v>
      </c>
      <c r="AN57" s="438">
        <f t="shared" si="26"/>
        <v>0.0124123043712898</v>
      </c>
      <c r="AO57" s="509">
        <v>5681.400000000001</v>
      </c>
      <c r="AP57" s="506">
        <f t="shared" si="27"/>
        <v>0.01556387104324452</v>
      </c>
      <c r="AQ57" s="512">
        <v>10443.78</v>
      </c>
      <c r="AR57" s="506">
        <f t="shared" si="28"/>
        <v>0.012504017437222022</v>
      </c>
      <c r="AS57" s="512">
        <v>125.46000000000001</v>
      </c>
      <c r="AT57" s="506">
        <f t="shared" si="29"/>
        <v>0.0012571026399355836</v>
      </c>
      <c r="AU57" s="512">
        <f t="shared" si="30"/>
        <v>16250.64</v>
      </c>
      <c r="AV57" s="438">
        <f t="shared" si="31"/>
        <v>0.012499794242260007</v>
      </c>
      <c r="AW57" s="509">
        <v>29539.2</v>
      </c>
      <c r="AX57" s="506">
        <f t="shared" si="32"/>
        <v>0.050646316971752425</v>
      </c>
      <c r="AY57" s="512">
        <v>2795.82</v>
      </c>
      <c r="AZ57" s="506">
        <f t="shared" si="33"/>
        <v>0.0037116114220486465</v>
      </c>
      <c r="BA57" s="512">
        <v>0</v>
      </c>
      <c r="BB57" s="506">
        <f t="shared" si="34"/>
        <v>0</v>
      </c>
      <c r="BC57" s="512">
        <f t="shared" si="35"/>
        <v>32335.02</v>
      </c>
      <c r="BD57" s="515">
        <f t="shared" si="36"/>
        <v>0.023695031134159786</v>
      </c>
      <c r="BE57" s="338"/>
      <c r="BF57"/>
      <c r="BG57"/>
      <c r="BH57"/>
      <c r="BI57"/>
      <c r="BJ57"/>
      <c r="BK57"/>
      <c r="BL57"/>
      <c r="BM57"/>
      <c r="BN57" s="350"/>
      <c r="BO57" s="350"/>
      <c r="BP57" s="350"/>
      <c r="BQ57" s="350"/>
      <c r="BR57" s="350"/>
    </row>
    <row r="58" spans="1:70" ht="11.25" customHeight="1">
      <c r="A58" s="422">
        <v>52000</v>
      </c>
      <c r="B58" s="423" t="s">
        <v>101</v>
      </c>
      <c r="G58" s="345"/>
      <c r="H58" s="29"/>
      <c r="I58" s="29"/>
      <c r="J58" s="29"/>
      <c r="K58" s="29"/>
      <c r="L58" s="474"/>
      <c r="M58" s="472"/>
      <c r="N58" s="473"/>
      <c r="O58" s="448"/>
      <c r="P58" s="509">
        <v>0</v>
      </c>
      <c r="Q58" s="506">
        <f t="shared" si="14"/>
        <v>0</v>
      </c>
      <c r="R58" s="512">
        <v>309.75</v>
      </c>
      <c r="S58" s="506">
        <f t="shared" si="14"/>
        <v>0.009012738377140754</v>
      </c>
      <c r="T58" s="512">
        <v>32.45000000000001</v>
      </c>
      <c r="U58" s="506">
        <f>T58/T$36</f>
        <v>0.0055543532954525346</v>
      </c>
      <c r="V58" s="517">
        <f t="shared" si="15"/>
        <v>342.2</v>
      </c>
      <c r="W58" s="515">
        <f t="shared" si="16"/>
        <v>0.003319099861658256</v>
      </c>
      <c r="Y58" s="525">
        <v>0</v>
      </c>
      <c r="Z58" s="506">
        <f t="shared" si="17"/>
        <v>0</v>
      </c>
      <c r="AA58" s="512">
        <v>21</v>
      </c>
      <c r="AB58" s="506">
        <f t="shared" si="18"/>
        <v>0.0021004200840168035</v>
      </c>
      <c r="AC58" s="512">
        <v>9</v>
      </c>
      <c r="AD58" s="506">
        <f t="shared" si="19"/>
        <v>0.002892030848329049</v>
      </c>
      <c r="AE58" s="512">
        <f t="shared" si="20"/>
        <v>30</v>
      </c>
      <c r="AF58" s="32">
        <f t="shared" si="21"/>
        <v>0.0010877447425670776</v>
      </c>
      <c r="AG58" s="509"/>
      <c r="AH58" s="506">
        <f t="shared" si="22"/>
        <v>0</v>
      </c>
      <c r="AI58" s="512">
        <v>0</v>
      </c>
      <c r="AJ58" s="506">
        <f t="shared" si="23"/>
        <v>0</v>
      </c>
      <c r="AK58" s="512"/>
      <c r="AL58" s="506">
        <f t="shared" si="24"/>
        <v>0</v>
      </c>
      <c r="AM58" s="512">
        <f t="shared" si="25"/>
        <v>0</v>
      </c>
      <c r="AN58" s="438">
        <f t="shared" si="26"/>
        <v>0</v>
      </c>
      <c r="AO58" s="509">
        <v>0</v>
      </c>
      <c r="AP58" s="506">
        <f t="shared" si="27"/>
        <v>0</v>
      </c>
      <c r="AQ58" s="512">
        <v>5272</v>
      </c>
      <c r="AR58" s="506">
        <f t="shared" si="28"/>
        <v>0.006312003884516382</v>
      </c>
      <c r="AS58" s="512">
        <v>114</v>
      </c>
      <c r="AT58" s="506">
        <f t="shared" si="29"/>
        <v>0.0011422740391571538</v>
      </c>
      <c r="AU58" s="512">
        <f t="shared" si="30"/>
        <v>5386</v>
      </c>
      <c r="AV58" s="438">
        <f t="shared" si="31"/>
        <v>0.004142845561086357</v>
      </c>
      <c r="AW58" s="509">
        <v>0</v>
      </c>
      <c r="AX58" s="506">
        <f t="shared" si="32"/>
        <v>0</v>
      </c>
      <c r="AY58" s="512">
        <v>5288</v>
      </c>
      <c r="AZ58" s="506">
        <f t="shared" si="33"/>
        <v>0.007020123326892733</v>
      </c>
      <c r="BA58" s="512">
        <v>0</v>
      </c>
      <c r="BB58" s="506">
        <f t="shared" si="34"/>
        <v>0</v>
      </c>
      <c r="BC58" s="512">
        <f t="shared" si="35"/>
        <v>5288</v>
      </c>
      <c r="BD58" s="515">
        <f t="shared" si="36"/>
        <v>0.0038750347034712503</v>
      </c>
      <c r="BE58" s="338"/>
      <c r="BF58"/>
      <c r="BG58"/>
      <c r="BH58"/>
      <c r="BI58"/>
      <c r="BJ58"/>
      <c r="BK58"/>
      <c r="BL58"/>
      <c r="BM58"/>
      <c r="BN58" s="350"/>
      <c r="BO58" s="350"/>
      <c r="BP58" s="350"/>
      <c r="BQ58" s="350"/>
      <c r="BR58" s="350"/>
    </row>
    <row r="59" spans="1:70" ht="11.25" customHeight="1">
      <c r="A59" s="422">
        <v>53000</v>
      </c>
      <c r="B59" s="423" t="s">
        <v>102</v>
      </c>
      <c r="G59" s="345"/>
      <c r="H59" s="29"/>
      <c r="I59" s="29"/>
      <c r="J59" s="29"/>
      <c r="K59" s="29"/>
      <c r="L59" s="474"/>
      <c r="M59" s="472"/>
      <c r="N59" s="473"/>
      <c r="O59" s="448"/>
      <c r="P59" s="509">
        <v>0</v>
      </c>
      <c r="Q59" s="506">
        <f t="shared" si="14"/>
        <v>0</v>
      </c>
      <c r="R59" s="512">
        <v>423.3072033898305</v>
      </c>
      <c r="S59" s="506">
        <f t="shared" si="14"/>
        <v>0.012316891290755938</v>
      </c>
      <c r="T59" s="512">
        <v>13.8</v>
      </c>
      <c r="U59" s="506">
        <f>T59/T$36</f>
        <v>0.0023620978575422174</v>
      </c>
      <c r="V59" s="517">
        <f t="shared" si="15"/>
        <v>437.1072033898305</v>
      </c>
      <c r="W59" s="515">
        <f t="shared" si="16"/>
        <v>0.004239633133550595</v>
      </c>
      <c r="Y59" s="525">
        <v>17</v>
      </c>
      <c r="Z59" s="506">
        <f t="shared" si="17"/>
        <v>0.0011748445058742225</v>
      </c>
      <c r="AA59" s="512">
        <v>30</v>
      </c>
      <c r="AB59" s="506">
        <f t="shared" si="18"/>
        <v>0.0030006001200240046</v>
      </c>
      <c r="AC59" s="512">
        <v>0</v>
      </c>
      <c r="AD59" s="506">
        <f t="shared" si="19"/>
        <v>0</v>
      </c>
      <c r="AE59" s="512">
        <f t="shared" si="20"/>
        <v>47</v>
      </c>
      <c r="AF59" s="32">
        <f t="shared" si="21"/>
        <v>0.0017041334300217548</v>
      </c>
      <c r="AG59" s="509"/>
      <c r="AH59" s="506">
        <f t="shared" si="22"/>
        <v>0</v>
      </c>
      <c r="AI59" s="512">
        <v>10</v>
      </c>
      <c r="AJ59" s="506">
        <f t="shared" si="23"/>
        <v>0.003057169061449098</v>
      </c>
      <c r="AK59" s="512"/>
      <c r="AL59" s="506">
        <f t="shared" si="24"/>
        <v>0</v>
      </c>
      <c r="AM59" s="512">
        <f t="shared" si="25"/>
        <v>10</v>
      </c>
      <c r="AN59" s="438">
        <f t="shared" si="26"/>
        <v>0.002698327037236913</v>
      </c>
      <c r="AO59" s="509">
        <v>424</v>
      </c>
      <c r="AP59" s="506">
        <f t="shared" si="27"/>
        <v>0.0011615238008828238</v>
      </c>
      <c r="AQ59" s="512">
        <v>12963</v>
      </c>
      <c r="AR59" s="506">
        <f t="shared" si="28"/>
        <v>0.015520202267637681</v>
      </c>
      <c r="AS59" s="512">
        <v>0</v>
      </c>
      <c r="AT59" s="506">
        <f t="shared" si="29"/>
        <v>0</v>
      </c>
      <c r="AU59" s="512">
        <f t="shared" si="30"/>
        <v>13387</v>
      </c>
      <c r="AV59" s="438">
        <f t="shared" si="31"/>
        <v>0.010297117253298007</v>
      </c>
      <c r="AW59" s="509">
        <v>0</v>
      </c>
      <c r="AX59" s="506">
        <f t="shared" si="32"/>
        <v>0</v>
      </c>
      <c r="AY59" s="512">
        <v>11538</v>
      </c>
      <c r="AZ59" s="506">
        <f t="shared" si="33"/>
        <v>0.015317356835417616</v>
      </c>
      <c r="BA59" s="512">
        <v>0</v>
      </c>
      <c r="BB59" s="506">
        <f t="shared" si="34"/>
        <v>0</v>
      </c>
      <c r="BC59" s="512">
        <f t="shared" si="35"/>
        <v>11538</v>
      </c>
      <c r="BD59" s="515">
        <f t="shared" si="36"/>
        <v>0.008455020879094418</v>
      </c>
      <c r="BE59" s="338"/>
      <c r="BF59"/>
      <c r="BG59"/>
      <c r="BH59"/>
      <c r="BI59"/>
      <c r="BJ59"/>
      <c r="BK59"/>
      <c r="BL59"/>
      <c r="BM59"/>
      <c r="BN59" s="350"/>
      <c r="BO59" s="350"/>
      <c r="BP59" s="350"/>
      <c r="BQ59" s="350"/>
      <c r="BR59" s="350"/>
    </row>
    <row r="60" spans="1:70" ht="11.25" customHeight="1">
      <c r="A60" s="422">
        <v>54000</v>
      </c>
      <c r="B60" s="423" t="s">
        <v>103</v>
      </c>
      <c r="G60" s="345"/>
      <c r="H60" s="29"/>
      <c r="I60" s="29"/>
      <c r="J60" s="29"/>
      <c r="K60" s="29"/>
      <c r="L60" s="474"/>
      <c r="M60" s="472"/>
      <c r="N60" s="473"/>
      <c r="O60" s="448"/>
      <c r="P60" s="509">
        <v>613.0924724073697</v>
      </c>
      <c r="Q60" s="506">
        <f t="shared" si="14"/>
        <v>0.00974865497210597</v>
      </c>
      <c r="R60" s="512">
        <v>349.46153846153845</v>
      </c>
      <c r="S60" s="506">
        <f t="shared" si="14"/>
        <v>0.010168217656261363</v>
      </c>
      <c r="T60" s="512">
        <v>51.625</v>
      </c>
      <c r="U60" s="506">
        <f>T60/T$36</f>
        <v>0.008836471151856302</v>
      </c>
      <c r="V60" s="517">
        <f t="shared" si="15"/>
        <v>1014.1790108689081</v>
      </c>
      <c r="W60" s="515">
        <f t="shared" si="16"/>
        <v>0.00983682470681385</v>
      </c>
      <c r="Y60" s="525">
        <v>56</v>
      </c>
      <c r="Z60" s="506">
        <f t="shared" si="17"/>
        <v>0.0038700760193503803</v>
      </c>
      <c r="AA60" s="512">
        <v>41</v>
      </c>
      <c r="AB60" s="506">
        <f t="shared" si="18"/>
        <v>0.004100820164032806</v>
      </c>
      <c r="AC60" s="512">
        <v>10</v>
      </c>
      <c r="AD60" s="506">
        <f t="shared" si="19"/>
        <v>0.003213367609254499</v>
      </c>
      <c r="AE60" s="512">
        <f t="shared" si="20"/>
        <v>107</v>
      </c>
      <c r="AF60" s="32">
        <f t="shared" si="21"/>
        <v>0.00387962291515591</v>
      </c>
      <c r="AG60" s="509"/>
      <c r="AH60" s="506">
        <f t="shared" si="22"/>
        <v>0</v>
      </c>
      <c r="AI60" s="512">
        <v>0</v>
      </c>
      <c r="AJ60" s="506">
        <f t="shared" si="23"/>
        <v>0</v>
      </c>
      <c r="AK60" s="512">
        <v>1</v>
      </c>
      <c r="AL60" s="506">
        <f t="shared" si="24"/>
        <v>0.006369426751592357</v>
      </c>
      <c r="AM60" s="512">
        <f t="shared" si="25"/>
        <v>1</v>
      </c>
      <c r="AN60" s="438">
        <f t="shared" si="26"/>
        <v>0.0002698327037236913</v>
      </c>
      <c r="AO60" s="509">
        <v>3349.68</v>
      </c>
      <c r="AP60" s="506">
        <f t="shared" si="27"/>
        <v>0.009176257182408437</v>
      </c>
      <c r="AQ60" s="512">
        <v>3525.12</v>
      </c>
      <c r="AR60" s="506">
        <f t="shared" si="28"/>
        <v>0.004220518045027767</v>
      </c>
      <c r="AS60" s="512">
        <v>459</v>
      </c>
      <c r="AT60" s="506">
        <f t="shared" si="29"/>
        <v>0.00459915599976433</v>
      </c>
      <c r="AU60" s="512">
        <f t="shared" si="30"/>
        <v>7333.799999999999</v>
      </c>
      <c r="AV60" s="438">
        <f t="shared" si="31"/>
        <v>0.005641069583344806</v>
      </c>
      <c r="AW60" s="509">
        <v>1801.32</v>
      </c>
      <c r="AX60" s="506">
        <f t="shared" si="32"/>
        <v>0.0030884459866061735</v>
      </c>
      <c r="AY60" s="512">
        <v>1928.82</v>
      </c>
      <c r="AZ60" s="506">
        <f t="shared" si="33"/>
        <v>0.0025606191897460744</v>
      </c>
      <c r="BA60" s="512">
        <v>91.8</v>
      </c>
      <c r="BB60" s="506">
        <f t="shared" si="34"/>
        <v>0.0032639953578732692</v>
      </c>
      <c r="BC60" s="512">
        <f t="shared" si="35"/>
        <v>3821.94</v>
      </c>
      <c r="BD60" s="515">
        <f t="shared" si="36"/>
        <v>0.002800709178249794</v>
      </c>
      <c r="BE60" s="338"/>
      <c r="BF60"/>
      <c r="BG60"/>
      <c r="BH60"/>
      <c r="BI60"/>
      <c r="BJ60"/>
      <c r="BK60"/>
      <c r="BL60"/>
      <c r="BM60"/>
      <c r="BN60" s="350"/>
      <c r="BO60" s="350"/>
      <c r="BP60" s="350"/>
      <c r="BQ60" s="350"/>
      <c r="BR60" s="350"/>
    </row>
    <row r="61" spans="1:70" ht="11.25" customHeight="1">
      <c r="A61" s="422">
        <v>55000</v>
      </c>
      <c r="B61" s="423" t="s">
        <v>104</v>
      </c>
      <c r="G61" s="345"/>
      <c r="H61" s="29"/>
      <c r="I61" s="29"/>
      <c r="J61" s="29"/>
      <c r="K61" s="29"/>
      <c r="L61" s="474"/>
      <c r="M61" s="472"/>
      <c r="N61" s="473"/>
      <c r="O61" s="448"/>
      <c r="P61" s="509">
        <v>497.867792210263</v>
      </c>
      <c r="Q61" s="506">
        <f t="shared" si="14"/>
        <v>0.007916491469751832</v>
      </c>
      <c r="R61" s="512">
        <v>0</v>
      </c>
      <c r="S61" s="506">
        <f t="shared" si="14"/>
        <v>0</v>
      </c>
      <c r="T61" s="512">
        <v>0</v>
      </c>
      <c r="U61" s="506">
        <f>T61/T$36</f>
        <v>0</v>
      </c>
      <c r="V61" s="517">
        <f t="shared" si="15"/>
        <v>497.867792210263</v>
      </c>
      <c r="W61" s="515">
        <f t="shared" si="16"/>
        <v>0.004828968206455831</v>
      </c>
      <c r="Y61" s="525">
        <v>51</v>
      </c>
      <c r="Z61" s="506">
        <f t="shared" si="17"/>
        <v>0.0035245335176226677</v>
      </c>
      <c r="AA61" s="512">
        <v>0</v>
      </c>
      <c r="AB61" s="506">
        <f t="shared" si="18"/>
        <v>0</v>
      </c>
      <c r="AC61" s="512">
        <v>0</v>
      </c>
      <c r="AD61" s="506">
        <f t="shared" si="19"/>
        <v>0</v>
      </c>
      <c r="AE61" s="512">
        <f t="shared" si="20"/>
        <v>51</v>
      </c>
      <c r="AF61" s="32">
        <f t="shared" si="21"/>
        <v>0.0018491660623640319</v>
      </c>
      <c r="AG61" s="509"/>
      <c r="AH61" s="506">
        <f t="shared" si="22"/>
        <v>0</v>
      </c>
      <c r="AI61" s="512">
        <v>0</v>
      </c>
      <c r="AJ61" s="506">
        <f t="shared" si="23"/>
        <v>0</v>
      </c>
      <c r="AK61" s="512"/>
      <c r="AL61" s="506">
        <f t="shared" si="24"/>
        <v>0</v>
      </c>
      <c r="AM61" s="512">
        <f t="shared" si="25"/>
        <v>0</v>
      </c>
      <c r="AN61" s="438">
        <f t="shared" si="26"/>
        <v>0</v>
      </c>
      <c r="AO61" s="509">
        <v>6695</v>
      </c>
      <c r="AP61" s="506">
        <f t="shared" si="27"/>
        <v>0.018340570393656854</v>
      </c>
      <c r="AQ61" s="512">
        <v>0</v>
      </c>
      <c r="AR61" s="506">
        <f t="shared" si="28"/>
        <v>0</v>
      </c>
      <c r="AS61" s="512">
        <v>0</v>
      </c>
      <c r="AT61" s="506">
        <f t="shared" si="29"/>
        <v>0</v>
      </c>
      <c r="AU61" s="512">
        <f t="shared" si="30"/>
        <v>6695</v>
      </c>
      <c r="AV61" s="438">
        <f t="shared" si="31"/>
        <v>0.005149712408368578</v>
      </c>
      <c r="AW61" s="509">
        <v>1136</v>
      </c>
      <c r="AX61" s="506">
        <f t="shared" si="32"/>
        <v>0.0019477242470991346</v>
      </c>
      <c r="AY61" s="512">
        <v>0</v>
      </c>
      <c r="AZ61" s="506">
        <f t="shared" si="33"/>
        <v>0</v>
      </c>
      <c r="BA61" s="512">
        <v>0</v>
      </c>
      <c r="BB61" s="506">
        <f t="shared" si="34"/>
        <v>0</v>
      </c>
      <c r="BC61" s="512">
        <f t="shared" si="35"/>
        <v>1136</v>
      </c>
      <c r="BD61" s="515">
        <f t="shared" si="36"/>
        <v>0.000832458287281267</v>
      </c>
      <c r="BE61" s="338"/>
      <c r="BF61"/>
      <c r="BG61"/>
      <c r="BH61"/>
      <c r="BI61"/>
      <c r="BJ61"/>
      <c r="BK61"/>
      <c r="BL61"/>
      <c r="BM61"/>
      <c r="BN61" s="350"/>
      <c r="BO61" s="350"/>
      <c r="BP61" s="350"/>
      <c r="BQ61" s="350"/>
      <c r="BR61" s="350"/>
    </row>
    <row r="62" spans="1:70" ht="11.25" customHeight="1">
      <c r="A62" s="468">
        <v>56000</v>
      </c>
      <c r="B62" s="469" t="s">
        <v>105</v>
      </c>
      <c r="G62" s="345"/>
      <c r="H62" s="29"/>
      <c r="I62" s="29"/>
      <c r="J62" s="29"/>
      <c r="K62" s="29"/>
      <c r="L62" s="475"/>
      <c r="M62" s="476"/>
      <c r="N62" s="477"/>
      <c r="O62" s="449"/>
      <c r="P62" s="510">
        <v>129.19295634920636</v>
      </c>
      <c r="Q62" s="507">
        <f t="shared" si="14"/>
        <v>0.002054270135350663</v>
      </c>
      <c r="R62" s="513">
        <v>0</v>
      </c>
      <c r="S62" s="507">
        <f t="shared" si="14"/>
        <v>0</v>
      </c>
      <c r="T62" s="513">
        <v>0</v>
      </c>
      <c r="U62" s="507">
        <f>T62/T$36</f>
        <v>0</v>
      </c>
      <c r="V62" s="518">
        <f t="shared" si="15"/>
        <v>129.19295634920636</v>
      </c>
      <c r="W62" s="516">
        <f t="shared" si="16"/>
        <v>0.0012530810156220686</v>
      </c>
      <c r="Y62" s="526">
        <v>27</v>
      </c>
      <c r="Z62" s="507">
        <f t="shared" si="17"/>
        <v>0.0018659295093296476</v>
      </c>
      <c r="AA62" s="513">
        <v>0</v>
      </c>
      <c r="AB62" s="507">
        <f t="shared" si="18"/>
        <v>0</v>
      </c>
      <c r="AC62" s="513">
        <v>0</v>
      </c>
      <c r="AD62" s="507">
        <f t="shared" si="19"/>
        <v>0</v>
      </c>
      <c r="AE62" s="513">
        <f t="shared" si="20"/>
        <v>27</v>
      </c>
      <c r="AF62" s="440">
        <f t="shared" si="21"/>
        <v>0.0009789702683103698</v>
      </c>
      <c r="AG62" s="510"/>
      <c r="AH62" s="507">
        <f t="shared" si="22"/>
        <v>0</v>
      </c>
      <c r="AI62" s="513">
        <v>0</v>
      </c>
      <c r="AJ62" s="507">
        <f t="shared" si="23"/>
        <v>0</v>
      </c>
      <c r="AK62" s="513"/>
      <c r="AL62" s="507">
        <f t="shared" si="24"/>
        <v>0</v>
      </c>
      <c r="AM62" s="513">
        <f t="shared" si="25"/>
        <v>0</v>
      </c>
      <c r="AN62" s="442">
        <f t="shared" si="26"/>
        <v>0</v>
      </c>
      <c r="AO62" s="510">
        <v>1586.1000000000001</v>
      </c>
      <c r="AP62" s="507">
        <f t="shared" si="27"/>
        <v>0.00434503042589681</v>
      </c>
      <c r="AQ62" s="513">
        <v>0</v>
      </c>
      <c r="AR62" s="507">
        <f t="shared" si="28"/>
        <v>0</v>
      </c>
      <c r="AS62" s="513">
        <v>0</v>
      </c>
      <c r="AT62" s="507">
        <f t="shared" si="29"/>
        <v>0</v>
      </c>
      <c r="AU62" s="513">
        <f t="shared" si="30"/>
        <v>1586.1000000000001</v>
      </c>
      <c r="AV62" s="442">
        <f t="shared" si="31"/>
        <v>0.0012200087902783274</v>
      </c>
      <c r="AW62" s="510">
        <v>441.66</v>
      </c>
      <c r="AX62" s="507">
        <f t="shared" si="32"/>
        <v>0.0007572463828994752</v>
      </c>
      <c r="AY62" s="513">
        <v>0</v>
      </c>
      <c r="AZ62" s="507">
        <f t="shared" si="33"/>
        <v>0</v>
      </c>
      <c r="BA62" s="513">
        <v>0</v>
      </c>
      <c r="BB62" s="507">
        <f t="shared" si="34"/>
        <v>0</v>
      </c>
      <c r="BC62" s="513">
        <f t="shared" si="35"/>
        <v>441.66</v>
      </c>
      <c r="BD62" s="516">
        <f t="shared" si="36"/>
        <v>0.0003236474710921166</v>
      </c>
      <c r="BE62" s="338"/>
      <c r="BF62"/>
      <c r="BG62"/>
      <c r="BH62"/>
      <c r="BI62"/>
      <c r="BJ62"/>
      <c r="BK62"/>
      <c r="BL62"/>
      <c r="BM62"/>
      <c r="BN62" s="350"/>
      <c r="BO62" s="350"/>
      <c r="BP62" s="350"/>
      <c r="BQ62" s="350"/>
      <c r="BR62" s="350"/>
    </row>
    <row r="63" spans="7:70" ht="9" customHeight="1">
      <c r="G63" s="345"/>
      <c r="H63" s="29"/>
      <c r="I63" s="29"/>
      <c r="J63" s="29"/>
      <c r="K63" s="29"/>
      <c r="L63" s="29"/>
      <c r="M63" s="29"/>
      <c r="O63" s="29"/>
      <c r="P63" s="342"/>
      <c r="BD63" s="538"/>
      <c r="BE63" s="338"/>
      <c r="BF63"/>
      <c r="BG63"/>
      <c r="BH63"/>
      <c r="BI63"/>
      <c r="BJ63"/>
      <c r="BK63"/>
      <c r="BL63"/>
      <c r="BM63"/>
      <c r="BN63" s="350"/>
      <c r="BO63" s="350"/>
      <c r="BP63" s="350"/>
      <c r="BQ63" s="350"/>
      <c r="BR63" s="350"/>
    </row>
    <row r="64" spans="1:66" ht="15">
      <c r="A64" s="466" t="s">
        <v>106</v>
      </c>
      <c r="B64" s="467" t="s">
        <v>79</v>
      </c>
      <c r="C64" s="444">
        <v>1524215.4029999988</v>
      </c>
      <c r="D64" s="453">
        <v>1.0000000000000004</v>
      </c>
      <c r="E64" s="443">
        <f>SUM(E65:E90)</f>
        <v>259053</v>
      </c>
      <c r="F64" s="447">
        <f>SUM(F65:F90)</f>
        <v>1</v>
      </c>
      <c r="G64" s="443">
        <f>SUM(G65:G90)</f>
        <v>4539174.95</v>
      </c>
      <c r="H64" s="447">
        <f>SUM(H65:H90)</f>
        <v>1</v>
      </c>
      <c r="I64" s="444">
        <f>SUM(I65:I90)</f>
        <v>4514237.020000001</v>
      </c>
      <c r="J64" s="450">
        <f>SUM(J65:J90)</f>
        <v>0.9999999999999997</v>
      </c>
      <c r="K64" s="29"/>
      <c r="L64" s="478">
        <f>SUM(L65:L90)</f>
        <v>1964.074</v>
      </c>
      <c r="M64" s="479">
        <f>SUM(M65:M90)</f>
        <v>3457.411</v>
      </c>
      <c r="N64" s="480">
        <f>SUM(N65:N90)</f>
        <v>10096.301500000001</v>
      </c>
      <c r="O64" s="481">
        <f>SUM(O65:O90)</f>
        <v>1.0000000000000002</v>
      </c>
      <c r="P64" s="508"/>
      <c r="Q64" s="505"/>
      <c r="R64" s="511"/>
      <c r="S64" s="505"/>
      <c r="T64" s="511"/>
      <c r="U64" s="505"/>
      <c r="V64" s="511"/>
      <c r="W64" s="514"/>
      <c r="Y64" s="524">
        <f aca="true" t="shared" si="37" ref="Y64:AL64">SUM(Y65:Y90)</f>
        <v>13843</v>
      </c>
      <c r="Z64" s="505">
        <f t="shared" si="37"/>
        <v>0.9999999999999999</v>
      </c>
      <c r="AA64" s="511">
        <f t="shared" si="37"/>
        <v>9589</v>
      </c>
      <c r="AB64" s="505">
        <f t="shared" si="37"/>
        <v>1.0000000000000002</v>
      </c>
      <c r="AC64" s="511">
        <f t="shared" si="37"/>
        <v>2935</v>
      </c>
      <c r="AD64" s="505">
        <f t="shared" si="37"/>
        <v>1.0000000000000002</v>
      </c>
      <c r="AE64" s="511">
        <f>SUM(AE65:AE90)</f>
        <v>26367</v>
      </c>
      <c r="AF64" s="445">
        <f>SUM(AF65:AF90)</f>
        <v>0.9999999999999999</v>
      </c>
      <c r="AG64" s="508">
        <f t="shared" si="37"/>
        <v>246</v>
      </c>
      <c r="AH64" s="505">
        <f t="shared" si="37"/>
        <v>1.0000000000000002</v>
      </c>
      <c r="AI64" s="511">
        <f t="shared" si="37"/>
        <v>2991</v>
      </c>
      <c r="AJ64" s="505">
        <f t="shared" si="37"/>
        <v>1</v>
      </c>
      <c r="AK64" s="511">
        <f t="shared" si="37"/>
        <v>185</v>
      </c>
      <c r="AL64" s="505">
        <f t="shared" si="37"/>
        <v>1</v>
      </c>
      <c r="AM64" s="511">
        <f>SUM(AM65:AM90)</f>
        <v>3422</v>
      </c>
      <c r="AN64" s="446">
        <f>SUM(AN65:AN90)</f>
        <v>1</v>
      </c>
      <c r="AO64" s="508">
        <f>SUM(AO65:AO90)</f>
        <v>329359.39999999997</v>
      </c>
      <c r="AP64" s="505">
        <f>SUM(AP65:AP90)</f>
        <v>1</v>
      </c>
      <c r="AQ64" s="511">
        <f>SUM(AQ65:AQ90)</f>
        <v>794977.7600000004</v>
      </c>
      <c r="AR64" s="505">
        <f>SUM(AR65:AR90)</f>
        <v>0.9999999999999997</v>
      </c>
      <c r="AS64" s="511">
        <f>SUM(AS65:AS90)</f>
        <v>68703.43999999999</v>
      </c>
      <c r="AT64" s="505">
        <f>SUM(AT65:AT90)</f>
        <v>1.0000000000000002</v>
      </c>
      <c r="AU64" s="511">
        <f>SUM(AU65:AU90)</f>
        <v>1193040.6</v>
      </c>
      <c r="AV64" s="446">
        <f>SUM(AV65:AV90)</f>
        <v>1</v>
      </c>
      <c r="AW64" s="508">
        <f>SUM(AW65:AW90)</f>
        <v>498719.0199999999</v>
      </c>
      <c r="AX64" s="505">
        <f>SUM(AX65:AX90)</f>
        <v>1.0000000000000002</v>
      </c>
      <c r="AY64" s="511">
        <f>SUM(AY65:AY90)</f>
        <v>739135.5</v>
      </c>
      <c r="AZ64" s="505">
        <f>SUM(AZ65:AZ90)</f>
        <v>0.9999999999999998</v>
      </c>
      <c r="BA64" s="511">
        <f>SUM(BA65:BA90)</f>
        <v>19069.460000000003</v>
      </c>
      <c r="BB64" s="505">
        <f>SUM(BB65:BB90)</f>
        <v>0.9999999999999998</v>
      </c>
      <c r="BC64" s="511">
        <f>SUM(BC65:BC90)</f>
        <v>1256923.98</v>
      </c>
      <c r="BD64" s="514">
        <f>SUM(BD65:BD90)</f>
        <v>1</v>
      </c>
      <c r="BE64" s="338"/>
      <c r="BF64"/>
      <c r="BG64" s="66"/>
      <c r="BJ64"/>
      <c r="BK64"/>
      <c r="BL64"/>
      <c r="BM64"/>
      <c r="BN64" s="350"/>
    </row>
    <row r="65" spans="1:65" ht="11.25" customHeight="1">
      <c r="A65" s="435">
        <v>11000</v>
      </c>
      <c r="B65" s="436" t="s">
        <v>80</v>
      </c>
      <c r="C65" s="346">
        <v>481005.05899999983</v>
      </c>
      <c r="D65" s="454">
        <f>C65/C$64</f>
        <v>0.3155755138370034</v>
      </c>
      <c r="E65" s="437"/>
      <c r="F65" s="448">
        <f aca="true" t="shared" si="38" ref="F65:F90">E65/$E$64</f>
        <v>0</v>
      </c>
      <c r="G65" s="437">
        <v>1163972.84</v>
      </c>
      <c r="H65" s="448">
        <f>G65/G$64</f>
        <v>0.2564282832940819</v>
      </c>
      <c r="I65" s="346">
        <v>1360671.52</v>
      </c>
      <c r="J65" s="451">
        <f>I65/I$64</f>
        <v>0.30141782852155147</v>
      </c>
      <c r="K65" s="29"/>
      <c r="L65" s="474">
        <v>425.098</v>
      </c>
      <c r="M65" s="472">
        <v>761.228</v>
      </c>
      <c r="N65" s="473">
        <f>L65*2.5+M65*1.5</f>
        <v>2204.587</v>
      </c>
      <c r="O65" s="448">
        <f aca="true" t="shared" si="39" ref="O65:O90">N65/N$64</f>
        <v>0.2183558999302863</v>
      </c>
      <c r="P65" s="509"/>
      <c r="Q65" s="506"/>
      <c r="R65" s="512"/>
      <c r="S65" s="506"/>
      <c r="T65" s="512"/>
      <c r="U65" s="506"/>
      <c r="V65" s="517"/>
      <c r="W65" s="515"/>
      <c r="Y65" s="525">
        <v>1650</v>
      </c>
      <c r="Z65" s="506">
        <f aca="true" t="shared" si="40" ref="Z65:Z90">Y65/Y$64</f>
        <v>0.11919381636928411</v>
      </c>
      <c r="AA65" s="512">
        <v>2349</v>
      </c>
      <c r="AB65" s="506">
        <f aca="true" t="shared" si="41" ref="AB65:AB90">AA65/AA$64</f>
        <v>0.24496819272082596</v>
      </c>
      <c r="AC65" s="512">
        <v>1127</v>
      </c>
      <c r="AD65" s="506">
        <f>AC65/AC$64</f>
        <v>0.3839863713798978</v>
      </c>
      <c r="AE65" s="512">
        <f>Y65+AA65+AC65</f>
        <v>5126</v>
      </c>
      <c r="AF65" s="32">
        <f aca="true" t="shared" si="42" ref="AF65:AF90">AE65/AE$64</f>
        <v>0.19440967876512308</v>
      </c>
      <c r="AG65" s="509">
        <v>68</v>
      </c>
      <c r="AH65" s="506">
        <f aca="true" t="shared" si="43" ref="AH65:AH90">AG65/AG$64</f>
        <v>0.2764227642276423</v>
      </c>
      <c r="AI65" s="512">
        <v>2089</v>
      </c>
      <c r="AJ65" s="506">
        <f>AI65/AI$64</f>
        <v>0.698428619190906</v>
      </c>
      <c r="AK65" s="512">
        <v>44</v>
      </c>
      <c r="AL65" s="506">
        <f>AK65/AK$64</f>
        <v>0.23783783783783785</v>
      </c>
      <c r="AM65" s="512">
        <f>AG65+AI65+AK65</f>
        <v>2201</v>
      </c>
      <c r="AN65" s="438">
        <f>AM65/AM$64</f>
        <v>0.6431911163062537</v>
      </c>
      <c r="AO65" s="509">
        <v>12750</v>
      </c>
      <c r="AP65" s="506">
        <f>AO65/AO$64</f>
        <v>0.03871151089053478</v>
      </c>
      <c r="AQ65" s="512">
        <v>112158.18000000001</v>
      </c>
      <c r="AR65" s="506">
        <f>AQ65/AQ$64</f>
        <v>0.14108341848456232</v>
      </c>
      <c r="AS65" s="512">
        <v>4641</v>
      </c>
      <c r="AT65" s="506">
        <f>AS65/AS$64</f>
        <v>0.06755120267631433</v>
      </c>
      <c r="AU65" s="512">
        <f>AO65+AQ65+AS65</f>
        <v>129549.18000000001</v>
      </c>
      <c r="AV65" s="438">
        <f>AU65/AU$64</f>
        <v>0.10858740264162008</v>
      </c>
      <c r="AW65" s="509">
        <v>191002.14</v>
      </c>
      <c r="AX65" s="506">
        <f>AW65/AW$64</f>
        <v>0.3829854734635949</v>
      </c>
      <c r="AY65" s="512">
        <v>154118.94</v>
      </c>
      <c r="AZ65" s="506">
        <f>AY65/AY$64</f>
        <v>0.20851243107657527</v>
      </c>
      <c r="BA65" s="512">
        <v>6976.8</v>
      </c>
      <c r="BB65" s="506">
        <f>BA65/BA$64</f>
        <v>0.3658624837829702</v>
      </c>
      <c r="BC65" s="512">
        <f>AW65+AY65+BA65</f>
        <v>352097.88</v>
      </c>
      <c r="BD65" s="515">
        <f>BC65/BC$64</f>
        <v>0.28012663104732877</v>
      </c>
      <c r="BE65" s="338"/>
      <c r="BF65"/>
      <c r="BG65" s="66"/>
      <c r="BJ65"/>
      <c r="BK65"/>
      <c r="BL65"/>
      <c r="BM65"/>
    </row>
    <row r="66" spans="1:59" ht="11.25" customHeight="1">
      <c r="A66" s="422">
        <v>12000</v>
      </c>
      <c r="B66" s="423" t="s">
        <v>81</v>
      </c>
      <c r="C66" s="346">
        <v>54652.097</v>
      </c>
      <c r="D66" s="454">
        <f aca="true" t="shared" si="44" ref="D66:D90">C66/C$64</f>
        <v>0.03585588814575183</v>
      </c>
      <c r="E66" s="437"/>
      <c r="F66" s="448">
        <f t="shared" si="38"/>
        <v>0</v>
      </c>
      <c r="G66" s="437">
        <v>152234.86</v>
      </c>
      <c r="H66" s="448">
        <f aca="true" t="shared" si="45" ref="H66:H90">G66/G$64</f>
        <v>0.033538002319121886</v>
      </c>
      <c r="I66" s="346">
        <v>106482.33</v>
      </c>
      <c r="J66" s="451">
        <f aca="true" t="shared" si="46" ref="J66:J90">I66/I$64</f>
        <v>0.023588112349492887</v>
      </c>
      <c r="K66" s="29"/>
      <c r="L66" s="474">
        <v>53.29</v>
      </c>
      <c r="M66" s="472">
        <v>99.74</v>
      </c>
      <c r="N66" s="473">
        <f aca="true" t="shared" si="47" ref="N66:N90">L66*2.5+M66*1.5</f>
        <v>282.835</v>
      </c>
      <c r="O66" s="448">
        <f t="shared" si="39"/>
        <v>0.028013723639295038</v>
      </c>
      <c r="P66" s="509"/>
      <c r="Q66" s="506"/>
      <c r="R66" s="512"/>
      <c r="S66" s="506"/>
      <c r="T66" s="512"/>
      <c r="U66" s="506"/>
      <c r="V66" s="517"/>
      <c r="W66" s="515"/>
      <c r="Y66" s="525">
        <v>129</v>
      </c>
      <c r="Z66" s="506">
        <f t="shared" si="40"/>
        <v>0.009318789279780394</v>
      </c>
      <c r="AA66" s="512">
        <v>19</v>
      </c>
      <c r="AB66" s="506">
        <f t="shared" si="41"/>
        <v>0.0019814370633016998</v>
      </c>
      <c r="AC66" s="512">
        <v>70</v>
      </c>
      <c r="AD66" s="506">
        <f aca="true" t="shared" si="48" ref="AD66:AD90">AC66/AC$64</f>
        <v>0.02385008517887564</v>
      </c>
      <c r="AE66" s="512">
        <f aca="true" t="shared" si="49" ref="AE66:AE90">Y66+AA66+AC66</f>
        <v>218</v>
      </c>
      <c r="AF66" s="32">
        <f t="shared" si="42"/>
        <v>0.00826791064588311</v>
      </c>
      <c r="AG66" s="509"/>
      <c r="AH66" s="506">
        <f t="shared" si="43"/>
        <v>0</v>
      </c>
      <c r="AI66" s="512">
        <v>0</v>
      </c>
      <c r="AJ66" s="506">
        <f>AI66/AI$64</f>
        <v>0</v>
      </c>
      <c r="AK66" s="512"/>
      <c r="AL66" s="506">
        <f>AK66/AK$64</f>
        <v>0</v>
      </c>
      <c r="AM66" s="512">
        <f aca="true" t="shared" si="50" ref="AM66:AM90">AG66+AI66+AK66</f>
        <v>0</v>
      </c>
      <c r="AN66" s="438">
        <f aca="true" t="shared" si="51" ref="AN66:AN90">AM66/AM$64</f>
        <v>0</v>
      </c>
      <c r="AO66" s="509">
        <v>14638</v>
      </c>
      <c r="AP66" s="506">
        <f aca="true" t="shared" si="52" ref="AP66:AR90">AO66/AO$64</f>
        <v>0.04444385069926652</v>
      </c>
      <c r="AQ66" s="512">
        <v>13576</v>
      </c>
      <c r="AR66" s="506">
        <f t="shared" si="52"/>
        <v>0.017077207291937315</v>
      </c>
      <c r="AS66" s="512">
        <v>1076</v>
      </c>
      <c r="AT66" s="506">
        <f>AS66/AS$64</f>
        <v>0.015661515638809353</v>
      </c>
      <c r="AU66" s="512">
        <f aca="true" t="shared" si="53" ref="AU66:AU90">AO66+AQ66+AS66</f>
        <v>29290</v>
      </c>
      <c r="AV66" s="438">
        <f aca="true" t="shared" si="54" ref="AV66:AV90">AU66/AU$64</f>
        <v>0.02455071520617152</v>
      </c>
      <c r="AW66" s="509">
        <v>4625</v>
      </c>
      <c r="AX66" s="506">
        <f>AW66/AW$64</f>
        <v>0.009273758999606634</v>
      </c>
      <c r="AY66" s="512">
        <v>2757</v>
      </c>
      <c r="AZ66" s="506">
        <f>AY66/AY$64</f>
        <v>0.0037300332618308823</v>
      </c>
      <c r="BA66" s="512">
        <v>373</v>
      </c>
      <c r="BB66" s="506">
        <f>BA66/BA$64</f>
        <v>0.019560071444078644</v>
      </c>
      <c r="BC66" s="512">
        <f aca="true" t="shared" si="55" ref="BC66:BC90">AW66+AY66+BA66</f>
        <v>7755</v>
      </c>
      <c r="BD66" s="515">
        <f aca="true" t="shared" si="56" ref="BD66:BD90">BC66/BC$64</f>
        <v>0.006169824208461677</v>
      </c>
      <c r="BE66" s="338"/>
      <c r="BF66" s="338"/>
      <c r="BG66" s="66"/>
    </row>
    <row r="67" spans="1:59" ht="11.25" customHeight="1">
      <c r="A67" s="422">
        <v>13000</v>
      </c>
      <c r="B67" s="423" t="s">
        <v>82</v>
      </c>
      <c r="C67" s="346">
        <v>9966.467</v>
      </c>
      <c r="D67" s="454">
        <f t="shared" si="44"/>
        <v>0.006538752318329648</v>
      </c>
      <c r="E67" s="437">
        <v>13620</v>
      </c>
      <c r="F67" s="448">
        <f t="shared" si="38"/>
        <v>0.05257611376822503</v>
      </c>
      <c r="G67" s="437">
        <v>41970.509999999995</v>
      </c>
      <c r="H67" s="448">
        <f t="shared" si="45"/>
        <v>0.00924628604588153</v>
      </c>
      <c r="I67" s="346">
        <v>53524.42</v>
      </c>
      <c r="J67" s="451">
        <f t="shared" si="46"/>
        <v>0.011856803212339962</v>
      </c>
      <c r="K67" s="29"/>
      <c r="L67" s="474">
        <v>38.94</v>
      </c>
      <c r="M67" s="472">
        <v>82.613</v>
      </c>
      <c r="N67" s="473">
        <f t="shared" si="47"/>
        <v>221.2695</v>
      </c>
      <c r="O67" s="448">
        <f t="shared" si="39"/>
        <v>0.021915896628087024</v>
      </c>
      <c r="P67" s="509"/>
      <c r="Q67" s="506"/>
      <c r="R67" s="512"/>
      <c r="S67" s="506"/>
      <c r="T67" s="512"/>
      <c r="U67" s="506"/>
      <c r="V67" s="517"/>
      <c r="W67" s="515"/>
      <c r="Y67" s="525">
        <v>177</v>
      </c>
      <c r="Z67" s="506">
        <f t="shared" si="40"/>
        <v>0.01278624575597775</v>
      </c>
      <c r="AA67" s="512">
        <v>32</v>
      </c>
      <c r="AB67" s="506">
        <f t="shared" si="41"/>
        <v>0.0033371571592449682</v>
      </c>
      <c r="AC67" s="512">
        <v>3</v>
      </c>
      <c r="AD67" s="506">
        <f t="shared" si="48"/>
        <v>0.0010221465076660989</v>
      </c>
      <c r="AE67" s="512">
        <f t="shared" si="49"/>
        <v>212</v>
      </c>
      <c r="AF67" s="32">
        <f t="shared" si="42"/>
        <v>0.00804035347214321</v>
      </c>
      <c r="AG67" s="509"/>
      <c r="AH67" s="506">
        <f t="shared" si="43"/>
        <v>0</v>
      </c>
      <c r="AI67" s="512">
        <v>6</v>
      </c>
      <c r="AJ67" s="506">
        <f>AI67/AI$64</f>
        <v>0.0020060180541624875</v>
      </c>
      <c r="AK67" s="512"/>
      <c r="AL67" s="506">
        <f>AK67/AK$64</f>
        <v>0</v>
      </c>
      <c r="AM67" s="512">
        <f t="shared" si="50"/>
        <v>6</v>
      </c>
      <c r="AN67" s="438">
        <f t="shared" si="51"/>
        <v>0.0017533606078316774</v>
      </c>
      <c r="AO67" s="509">
        <v>23503.86</v>
      </c>
      <c r="AP67" s="506">
        <f t="shared" si="52"/>
        <v>0.07136234763604744</v>
      </c>
      <c r="AQ67" s="512">
        <v>15110.28</v>
      </c>
      <c r="AR67" s="506">
        <f t="shared" si="52"/>
        <v>0.019007173232116575</v>
      </c>
      <c r="AS67" s="512">
        <v>66.3</v>
      </c>
      <c r="AT67" s="506">
        <f>AS67/AS$64</f>
        <v>0.0009650171810902047</v>
      </c>
      <c r="AU67" s="512">
        <f t="shared" si="53"/>
        <v>38680.44</v>
      </c>
      <c r="AV67" s="438">
        <f t="shared" si="54"/>
        <v>0.032421729822103285</v>
      </c>
      <c r="AW67" s="509">
        <v>11750.4</v>
      </c>
      <c r="AX67" s="506">
        <f>AW67/AW$64</f>
        <v>0.023561162756535737</v>
      </c>
      <c r="AY67" s="512">
        <v>1167.9</v>
      </c>
      <c r="AZ67" s="506">
        <f>AY67/AY$64</f>
        <v>0.0015800891717418525</v>
      </c>
      <c r="BA67" s="512">
        <v>0</v>
      </c>
      <c r="BB67" s="506">
        <f>BA67/BA$64</f>
        <v>0</v>
      </c>
      <c r="BC67" s="512">
        <f t="shared" si="55"/>
        <v>12918.3</v>
      </c>
      <c r="BD67" s="515">
        <f t="shared" si="56"/>
        <v>0.010277709873909796</v>
      </c>
      <c r="BE67" s="338"/>
      <c r="BF67" s="338"/>
      <c r="BG67" s="66"/>
    </row>
    <row r="68" spans="1:59" ht="11.25" customHeight="1">
      <c r="A68" s="422">
        <v>14000</v>
      </c>
      <c r="B68" s="423" t="s">
        <v>83</v>
      </c>
      <c r="C68" s="346">
        <v>181026.541</v>
      </c>
      <c r="D68" s="454">
        <f t="shared" si="44"/>
        <v>0.11876703295590574</v>
      </c>
      <c r="E68" s="437"/>
      <c r="F68" s="448">
        <f t="shared" si="38"/>
        <v>0</v>
      </c>
      <c r="G68" s="437">
        <v>502455.88</v>
      </c>
      <c r="H68" s="448">
        <f t="shared" si="45"/>
        <v>0.11069321749759832</v>
      </c>
      <c r="I68" s="346">
        <v>438086.18000000005</v>
      </c>
      <c r="J68" s="451">
        <f t="shared" si="46"/>
        <v>0.0970454537630813</v>
      </c>
      <c r="K68" s="29"/>
      <c r="L68" s="474">
        <v>193.343</v>
      </c>
      <c r="M68" s="472">
        <v>301.944</v>
      </c>
      <c r="N68" s="473">
        <f t="shared" si="47"/>
        <v>936.2735</v>
      </c>
      <c r="O68" s="448">
        <f t="shared" si="39"/>
        <v>0.09273430473525378</v>
      </c>
      <c r="P68" s="509"/>
      <c r="Q68" s="506"/>
      <c r="R68" s="512"/>
      <c r="S68" s="506"/>
      <c r="T68" s="512"/>
      <c r="U68" s="506"/>
      <c r="V68" s="517"/>
      <c r="W68" s="515"/>
      <c r="Y68" s="525">
        <v>2855</v>
      </c>
      <c r="Z68" s="506">
        <f t="shared" si="40"/>
        <v>0.20624142165715523</v>
      </c>
      <c r="AA68" s="512">
        <v>2372</v>
      </c>
      <c r="AB68" s="506">
        <f t="shared" si="41"/>
        <v>0.24736677442903326</v>
      </c>
      <c r="AC68" s="512">
        <v>438</v>
      </c>
      <c r="AD68" s="506">
        <f t="shared" si="48"/>
        <v>0.14923339011925044</v>
      </c>
      <c r="AE68" s="512">
        <f t="shared" si="49"/>
        <v>5665</v>
      </c>
      <c r="AF68" s="32">
        <f t="shared" si="42"/>
        <v>0.21485189820609094</v>
      </c>
      <c r="AG68" s="509"/>
      <c r="AH68" s="506">
        <f t="shared" si="43"/>
        <v>0</v>
      </c>
      <c r="AI68" s="512">
        <v>407</v>
      </c>
      <c r="AJ68" s="506">
        <f aca="true" t="shared" si="57" ref="AJ68:AJ90">AI68/AI$64</f>
        <v>0.13607489134068873</v>
      </c>
      <c r="AK68" s="512">
        <v>8</v>
      </c>
      <c r="AL68" s="506">
        <f>AK68/AK$64</f>
        <v>0.043243243243243246</v>
      </c>
      <c r="AM68" s="512">
        <f t="shared" si="50"/>
        <v>415</v>
      </c>
      <c r="AN68" s="438">
        <f t="shared" si="51"/>
        <v>0.12127410870835768</v>
      </c>
      <c r="AO68" s="509">
        <v>57421.799999999996</v>
      </c>
      <c r="AP68" s="506">
        <f t="shared" si="52"/>
        <v>0.17434389302385175</v>
      </c>
      <c r="AQ68" s="512">
        <v>147834.06</v>
      </c>
      <c r="AR68" s="506">
        <f t="shared" si="52"/>
        <v>0.18595999465444157</v>
      </c>
      <c r="AS68" s="512">
        <v>17410.079999999998</v>
      </c>
      <c r="AT68" s="506">
        <f>AS68/AS$64</f>
        <v>0.2534091451607081</v>
      </c>
      <c r="AU68" s="512">
        <f t="shared" si="53"/>
        <v>222665.93999999997</v>
      </c>
      <c r="AV68" s="438">
        <f t="shared" si="54"/>
        <v>0.18663735333064102</v>
      </c>
      <c r="AW68" s="509">
        <v>3034.68</v>
      </c>
      <c r="AX68" s="506">
        <f>AW68/AW$64</f>
        <v>0.006084949396957029</v>
      </c>
      <c r="AY68" s="512">
        <v>197549.46</v>
      </c>
      <c r="AZ68" s="506">
        <f>AY68/AY$64</f>
        <v>0.2672709672313128</v>
      </c>
      <c r="BA68" s="512">
        <v>207.48</v>
      </c>
      <c r="BB68" s="506">
        <f>BA68/BA$64</f>
        <v>0.010880224190931466</v>
      </c>
      <c r="BC68" s="512">
        <f t="shared" si="55"/>
        <v>200791.62</v>
      </c>
      <c r="BD68" s="515">
        <f t="shared" si="56"/>
        <v>0.15974842010731627</v>
      </c>
      <c r="BE68" s="338"/>
      <c r="BF68" s="338"/>
      <c r="BG68" s="66"/>
    </row>
    <row r="69" spans="1:59" ht="11.25" customHeight="1">
      <c r="A69" s="422">
        <v>15000</v>
      </c>
      <c r="B69" s="423" t="s">
        <v>84</v>
      </c>
      <c r="C69" s="346">
        <v>99206.90599999999</v>
      </c>
      <c r="D69" s="454">
        <f t="shared" si="44"/>
        <v>0.06508719555302911</v>
      </c>
      <c r="E69" s="437"/>
      <c r="F69" s="448">
        <f t="shared" si="38"/>
        <v>0</v>
      </c>
      <c r="G69" s="437">
        <v>278687.91000000003</v>
      </c>
      <c r="H69" s="448">
        <f t="shared" si="45"/>
        <v>0.06139615966994179</v>
      </c>
      <c r="I69" s="346">
        <v>190474.55</v>
      </c>
      <c r="J69" s="451">
        <f t="shared" si="46"/>
        <v>0.04219418456676427</v>
      </c>
      <c r="K69" s="29"/>
      <c r="L69" s="474">
        <v>129.465</v>
      </c>
      <c r="M69" s="472">
        <v>219.003</v>
      </c>
      <c r="N69" s="473">
        <f t="shared" si="47"/>
        <v>652.167</v>
      </c>
      <c r="O69" s="448">
        <f t="shared" si="39"/>
        <v>0.06459464389014134</v>
      </c>
      <c r="P69" s="509"/>
      <c r="Q69" s="506"/>
      <c r="R69" s="512"/>
      <c r="S69" s="506"/>
      <c r="T69" s="512"/>
      <c r="U69" s="506"/>
      <c r="V69" s="517"/>
      <c r="W69" s="515"/>
      <c r="Y69" s="525">
        <v>379</v>
      </c>
      <c r="Z69" s="506">
        <f t="shared" si="40"/>
        <v>0.027378458426641623</v>
      </c>
      <c r="AA69" s="512">
        <v>600</v>
      </c>
      <c r="AB69" s="506">
        <f t="shared" si="41"/>
        <v>0.06257169673584316</v>
      </c>
      <c r="AC69" s="512">
        <v>171</v>
      </c>
      <c r="AD69" s="506">
        <f t="shared" si="48"/>
        <v>0.05826235093696763</v>
      </c>
      <c r="AE69" s="512">
        <f t="shared" si="49"/>
        <v>1150</v>
      </c>
      <c r="AF69" s="32">
        <f t="shared" si="42"/>
        <v>0.04361512496681458</v>
      </c>
      <c r="AG69" s="509"/>
      <c r="AH69" s="506">
        <f t="shared" si="43"/>
        <v>0</v>
      </c>
      <c r="AI69" s="512">
        <v>238</v>
      </c>
      <c r="AJ69" s="506">
        <f t="shared" si="57"/>
        <v>0.07957204948177866</v>
      </c>
      <c r="AK69" s="512">
        <v>7</v>
      </c>
      <c r="AL69" s="506">
        <f aca="true" t="shared" si="58" ref="AL69:AL90">AK69/AK$64</f>
        <v>0.03783783783783784</v>
      </c>
      <c r="AM69" s="512">
        <f t="shared" si="50"/>
        <v>245</v>
      </c>
      <c r="AN69" s="438">
        <f t="shared" si="51"/>
        <v>0.07159555815312682</v>
      </c>
      <c r="AO69" s="509">
        <v>39318.96</v>
      </c>
      <c r="AP69" s="506">
        <f t="shared" si="52"/>
        <v>0.11938010574466677</v>
      </c>
      <c r="AQ69" s="512">
        <v>59170.200000000004</v>
      </c>
      <c r="AR69" s="506">
        <f t="shared" si="52"/>
        <v>0.07443000669603635</v>
      </c>
      <c r="AS69" s="512">
        <v>4280.9400000000005</v>
      </c>
      <c r="AT69" s="506">
        <f>AS69/AS$64</f>
        <v>0.062310417062085996</v>
      </c>
      <c r="AU69" s="512">
        <f t="shared" si="53"/>
        <v>102770.1</v>
      </c>
      <c r="AV69" s="438">
        <f t="shared" si="54"/>
        <v>0.08614132662375447</v>
      </c>
      <c r="AW69" s="509">
        <v>25201.14</v>
      </c>
      <c r="AX69" s="506">
        <f>AW69/AW$64</f>
        <v>0.050531740297372264</v>
      </c>
      <c r="AY69" s="512">
        <v>21094.62</v>
      </c>
      <c r="AZ69" s="506">
        <f>AY69/AY$64</f>
        <v>0.02853958441990677</v>
      </c>
      <c r="BA69" s="512">
        <v>624.24</v>
      </c>
      <c r="BB69" s="506">
        <f>BA69/BA$64</f>
        <v>0.03273506433847628</v>
      </c>
      <c r="BC69" s="512">
        <f t="shared" si="55"/>
        <v>46919.99999999999</v>
      </c>
      <c r="BD69" s="515">
        <f t="shared" si="56"/>
        <v>0.037329226545586305</v>
      </c>
      <c r="BE69" s="338"/>
      <c r="BF69" s="338"/>
      <c r="BG69" s="66"/>
    </row>
    <row r="70" spans="1:59" ht="11.25" customHeight="1">
      <c r="A70" s="422">
        <v>16000</v>
      </c>
      <c r="B70" s="423" t="s">
        <v>85</v>
      </c>
      <c r="C70" s="346">
        <v>16818.801999999996</v>
      </c>
      <c r="D70" s="454">
        <f t="shared" si="44"/>
        <v>0.011034399709448422</v>
      </c>
      <c r="E70" s="437"/>
      <c r="F70" s="448">
        <f t="shared" si="38"/>
        <v>0</v>
      </c>
      <c r="G70" s="437">
        <v>41319.54</v>
      </c>
      <c r="H70" s="448">
        <f t="shared" si="45"/>
        <v>0.009102874521282773</v>
      </c>
      <c r="I70" s="346">
        <v>81571</v>
      </c>
      <c r="J70" s="451">
        <f t="shared" si="46"/>
        <v>0.018069720229267</v>
      </c>
      <c r="K70" s="29"/>
      <c r="L70" s="474">
        <v>33.95</v>
      </c>
      <c r="M70" s="472">
        <v>39.539</v>
      </c>
      <c r="N70" s="473">
        <f t="shared" si="47"/>
        <v>144.1835</v>
      </c>
      <c r="O70" s="448">
        <f t="shared" si="39"/>
        <v>0.014280823527308488</v>
      </c>
      <c r="P70" s="509"/>
      <c r="Q70" s="506"/>
      <c r="R70" s="512"/>
      <c r="S70" s="506"/>
      <c r="T70" s="512"/>
      <c r="U70" s="506"/>
      <c r="V70" s="517"/>
      <c r="W70" s="515"/>
      <c r="Y70" s="525">
        <v>6</v>
      </c>
      <c r="Z70" s="506">
        <f t="shared" si="40"/>
        <v>0.0004334320595246695</v>
      </c>
      <c r="AA70" s="512">
        <v>356</v>
      </c>
      <c r="AB70" s="506">
        <f t="shared" si="41"/>
        <v>0.03712587339660027</v>
      </c>
      <c r="AC70" s="512">
        <v>37</v>
      </c>
      <c r="AD70" s="506">
        <f t="shared" si="48"/>
        <v>0.012606473594548553</v>
      </c>
      <c r="AE70" s="512">
        <f t="shared" si="49"/>
        <v>399</v>
      </c>
      <c r="AF70" s="32">
        <f t="shared" si="42"/>
        <v>0.015132552053703494</v>
      </c>
      <c r="AG70" s="509"/>
      <c r="AH70" s="506">
        <f t="shared" si="43"/>
        <v>0</v>
      </c>
      <c r="AI70" s="512">
        <v>143</v>
      </c>
      <c r="AJ70" s="506">
        <f t="shared" si="57"/>
        <v>0.04781009695753929</v>
      </c>
      <c r="AK70" s="512"/>
      <c r="AL70" s="506">
        <f t="shared" si="58"/>
        <v>0</v>
      </c>
      <c r="AM70" s="512">
        <f t="shared" si="50"/>
        <v>143</v>
      </c>
      <c r="AN70" s="438">
        <f t="shared" si="51"/>
        <v>0.04178842781998831</v>
      </c>
      <c r="AO70" s="509">
        <v>0</v>
      </c>
      <c r="AP70" s="506">
        <f t="shared" si="52"/>
        <v>0</v>
      </c>
      <c r="AQ70" s="512">
        <v>6159.78</v>
      </c>
      <c r="AR70" s="506">
        <f t="shared" si="52"/>
        <v>0.007748367702764411</v>
      </c>
      <c r="AS70" s="512">
        <v>401.88</v>
      </c>
      <c r="AT70" s="506">
        <f>AS70/AS$64</f>
        <v>0.005849488759223702</v>
      </c>
      <c r="AU70" s="512">
        <f t="shared" si="53"/>
        <v>6561.66</v>
      </c>
      <c r="AV70" s="438">
        <f t="shared" si="54"/>
        <v>0.0054999469422918204</v>
      </c>
      <c r="AW70" s="509">
        <v>0</v>
      </c>
      <c r="AX70" s="506">
        <f>AW70/AW$64</f>
        <v>0</v>
      </c>
      <c r="AY70" s="512">
        <v>2767.26</v>
      </c>
      <c r="AZ70" s="506">
        <f>AY70/AY$64</f>
        <v>0.0037439143431752366</v>
      </c>
      <c r="BA70" s="512">
        <v>0</v>
      </c>
      <c r="BB70" s="506">
        <f>BA70/BA$64</f>
        <v>0</v>
      </c>
      <c r="BC70" s="512">
        <f t="shared" si="55"/>
        <v>2767.26</v>
      </c>
      <c r="BD70" s="515">
        <f t="shared" si="56"/>
        <v>0.002201612861264689</v>
      </c>
      <c r="BE70" s="338"/>
      <c r="BF70" s="338"/>
      <c r="BG70" s="66"/>
    </row>
    <row r="71" spans="1:59" ht="11.25" customHeight="1">
      <c r="A71" s="422">
        <v>17000</v>
      </c>
      <c r="B71" s="423" t="s">
        <v>86</v>
      </c>
      <c r="C71" s="346">
        <v>16598.389</v>
      </c>
      <c r="D71" s="454">
        <f t="shared" si="44"/>
        <v>0.010889792195598231</v>
      </c>
      <c r="E71" s="437">
        <v>17575</v>
      </c>
      <c r="F71" s="448">
        <f t="shared" si="38"/>
        <v>0.06784325987346218</v>
      </c>
      <c r="G71" s="437">
        <v>51377.24</v>
      </c>
      <c r="H71" s="448">
        <f t="shared" si="45"/>
        <v>0.011318629611312954</v>
      </c>
      <c r="I71" s="346">
        <v>53946.81</v>
      </c>
      <c r="J71" s="451">
        <f t="shared" si="46"/>
        <v>0.011950371626698498</v>
      </c>
      <c r="K71" s="29"/>
      <c r="L71" s="474">
        <v>33.242</v>
      </c>
      <c r="M71" s="472">
        <v>92.578</v>
      </c>
      <c r="N71" s="473">
        <f t="shared" si="47"/>
        <v>221.972</v>
      </c>
      <c r="O71" s="448">
        <f t="shared" si="39"/>
        <v>0.021985476562877998</v>
      </c>
      <c r="P71" s="509"/>
      <c r="Q71" s="506"/>
      <c r="R71" s="512"/>
      <c r="S71" s="506"/>
      <c r="T71" s="512"/>
      <c r="U71" s="506"/>
      <c r="V71" s="517"/>
      <c r="W71" s="515"/>
      <c r="Y71" s="525">
        <v>164</v>
      </c>
      <c r="Z71" s="506">
        <f t="shared" si="40"/>
        <v>0.011847142960340966</v>
      </c>
      <c r="AA71" s="512">
        <v>92</v>
      </c>
      <c r="AB71" s="506">
        <f t="shared" si="41"/>
        <v>0.009594326832829283</v>
      </c>
      <c r="AC71" s="512">
        <v>30</v>
      </c>
      <c r="AD71" s="506">
        <f t="shared" si="48"/>
        <v>0.010221465076660987</v>
      </c>
      <c r="AE71" s="512">
        <f t="shared" si="49"/>
        <v>286</v>
      </c>
      <c r="AF71" s="32">
        <f t="shared" si="42"/>
        <v>0.01084689194826867</v>
      </c>
      <c r="AG71" s="509">
        <v>47</v>
      </c>
      <c r="AH71" s="506">
        <f t="shared" si="43"/>
        <v>0.1910569105691057</v>
      </c>
      <c r="AI71" s="512">
        <v>0</v>
      </c>
      <c r="AJ71" s="506">
        <f t="shared" si="57"/>
        <v>0</v>
      </c>
      <c r="AK71" s="512">
        <v>1</v>
      </c>
      <c r="AL71" s="506">
        <f t="shared" si="58"/>
        <v>0.005405405405405406</v>
      </c>
      <c r="AM71" s="512">
        <f t="shared" si="50"/>
        <v>48</v>
      </c>
      <c r="AN71" s="438">
        <f t="shared" si="51"/>
        <v>0.014026884862653419</v>
      </c>
      <c r="AO71" s="509">
        <v>18193.74</v>
      </c>
      <c r="AP71" s="506">
        <f t="shared" si="52"/>
        <v>0.055239777580357516</v>
      </c>
      <c r="AQ71" s="512">
        <v>18687.420000000002</v>
      </c>
      <c r="AR71" s="506">
        <f t="shared" si="52"/>
        <v>0.0235068462795739</v>
      </c>
      <c r="AS71" s="512">
        <v>841.5</v>
      </c>
      <c r="AT71" s="506">
        <f>AS71/AS$64</f>
        <v>0.01224829499076029</v>
      </c>
      <c r="AU71" s="512">
        <f t="shared" si="53"/>
        <v>37722.66</v>
      </c>
      <c r="AV71" s="438">
        <f t="shared" si="54"/>
        <v>0.03161892394944481</v>
      </c>
      <c r="AW71" s="509">
        <v>15711.06</v>
      </c>
      <c r="AX71" s="506">
        <f>AW71/AW$64</f>
        <v>0.03150282898775347</v>
      </c>
      <c r="AY71" s="512">
        <v>2261.34</v>
      </c>
      <c r="AZ71" s="506">
        <f>AY71/AY$64</f>
        <v>0.0030594390338442683</v>
      </c>
      <c r="BA71" s="512">
        <v>0</v>
      </c>
      <c r="BB71" s="506">
        <f>BA71/BA$64</f>
        <v>0</v>
      </c>
      <c r="BC71" s="512">
        <f t="shared" si="55"/>
        <v>17972.4</v>
      </c>
      <c r="BD71" s="515">
        <f t="shared" si="56"/>
        <v>0.014298716776809368</v>
      </c>
      <c r="BE71" s="338"/>
      <c r="BF71" s="338"/>
      <c r="BG71" s="66"/>
    </row>
    <row r="72" spans="1:59" ht="11.25" customHeight="1">
      <c r="A72" s="422">
        <v>18000</v>
      </c>
      <c r="B72" s="423" t="s">
        <v>87</v>
      </c>
      <c r="C72" s="346">
        <v>6472.93</v>
      </c>
      <c r="D72" s="454">
        <f t="shared" si="44"/>
        <v>0.00424672916128509</v>
      </c>
      <c r="E72" s="437"/>
      <c r="F72" s="448">
        <f t="shared" si="38"/>
        <v>0</v>
      </c>
      <c r="G72" s="437">
        <v>14750.31</v>
      </c>
      <c r="H72" s="448">
        <f t="shared" si="45"/>
        <v>0.0032495574994305955</v>
      </c>
      <c r="I72" s="346">
        <v>43307.78999999999</v>
      </c>
      <c r="J72" s="451">
        <f t="shared" si="46"/>
        <v>0.009593601268193929</v>
      </c>
      <c r="K72" s="29"/>
      <c r="L72" s="474">
        <v>32.214</v>
      </c>
      <c r="M72" s="472">
        <v>66.651</v>
      </c>
      <c r="N72" s="473">
        <f t="shared" si="47"/>
        <v>180.51149999999998</v>
      </c>
      <c r="O72" s="448">
        <f t="shared" si="39"/>
        <v>0.017878972809993832</v>
      </c>
      <c r="P72" s="509"/>
      <c r="Q72" s="506"/>
      <c r="R72" s="512"/>
      <c r="S72" s="506"/>
      <c r="T72" s="512"/>
      <c r="U72" s="506"/>
      <c r="V72" s="517"/>
      <c r="W72" s="515"/>
      <c r="Y72" s="525">
        <v>61</v>
      </c>
      <c r="Z72" s="506">
        <f>Y72/Y$64</f>
        <v>0.00440655927183414</v>
      </c>
      <c r="AA72" s="512">
        <v>15</v>
      </c>
      <c r="AB72" s="506">
        <f t="shared" si="41"/>
        <v>0.0015642924183960787</v>
      </c>
      <c r="AC72" s="512">
        <v>10</v>
      </c>
      <c r="AD72" s="506">
        <f t="shared" si="48"/>
        <v>0.0034071550255536627</v>
      </c>
      <c r="AE72" s="512">
        <f t="shared" si="49"/>
        <v>86</v>
      </c>
      <c r="AF72" s="32">
        <f t="shared" si="42"/>
        <v>0.003261652823605264</v>
      </c>
      <c r="AG72" s="509">
        <v>22</v>
      </c>
      <c r="AH72" s="506">
        <f t="shared" si="43"/>
        <v>0.08943089430894309</v>
      </c>
      <c r="AI72" s="512">
        <v>2</v>
      </c>
      <c r="AJ72" s="506">
        <f t="shared" si="57"/>
        <v>0.0006686726847208291</v>
      </c>
      <c r="AK72" s="512">
        <v>3</v>
      </c>
      <c r="AL72" s="506">
        <f t="shared" si="58"/>
        <v>0.016216216216216217</v>
      </c>
      <c r="AM72" s="512">
        <f t="shared" si="50"/>
        <v>27</v>
      </c>
      <c r="AN72" s="438">
        <f t="shared" si="51"/>
        <v>0.007890122735242549</v>
      </c>
      <c r="AO72" s="509">
        <v>18012.18</v>
      </c>
      <c r="AP72" s="506">
        <f t="shared" si="52"/>
        <v>0.054688525665276294</v>
      </c>
      <c r="AQ72" s="512">
        <v>9592.08</v>
      </c>
      <c r="AR72" s="506">
        <f t="shared" si="52"/>
        <v>0.012065846974134214</v>
      </c>
      <c r="AS72" s="512">
        <v>138.72</v>
      </c>
      <c r="AT72" s="506">
        <f>AS72/AS$64</f>
        <v>0.0020191128712041206</v>
      </c>
      <c r="AU72" s="512">
        <f t="shared" si="53"/>
        <v>27742.980000000003</v>
      </c>
      <c r="AV72" s="438">
        <f t="shared" si="54"/>
        <v>0.023254011640509133</v>
      </c>
      <c r="AW72" s="509">
        <v>872.1</v>
      </c>
      <c r="AX72" s="506">
        <f>AW72/AW$64</f>
        <v>0.0017486800483366368</v>
      </c>
      <c r="AY72" s="512">
        <v>12658.2</v>
      </c>
      <c r="AZ72" s="506">
        <f>AY72/AY$64</f>
        <v>0.01712568263870427</v>
      </c>
      <c r="BA72" s="512">
        <v>0</v>
      </c>
      <c r="BB72" s="506">
        <f>BA72/BA$64</f>
        <v>0</v>
      </c>
      <c r="BC72" s="512">
        <f t="shared" si="55"/>
        <v>13530.300000000001</v>
      </c>
      <c r="BD72" s="515">
        <f t="shared" si="56"/>
        <v>0.010764612828852228</v>
      </c>
      <c r="BE72" s="338"/>
      <c r="BF72" s="338"/>
      <c r="BG72" s="66"/>
    </row>
    <row r="73" spans="1:59" ht="11.25" customHeight="1">
      <c r="A73" s="422">
        <v>19000</v>
      </c>
      <c r="B73" s="423" t="s">
        <v>88</v>
      </c>
      <c r="C73" s="346">
        <v>10078.088999999998</v>
      </c>
      <c r="D73" s="454">
        <f t="shared" si="44"/>
        <v>0.006611984749769653</v>
      </c>
      <c r="E73" s="437"/>
      <c r="F73" s="448">
        <f t="shared" si="38"/>
        <v>0</v>
      </c>
      <c r="G73" s="437">
        <v>16744</v>
      </c>
      <c r="H73" s="448">
        <f t="shared" si="45"/>
        <v>0.003688776084737602</v>
      </c>
      <c r="I73" s="346">
        <v>55881.92999999999</v>
      </c>
      <c r="J73" s="451">
        <f t="shared" si="46"/>
        <v>0.012379042073426614</v>
      </c>
      <c r="K73" s="29"/>
      <c r="L73" s="474">
        <v>18.369</v>
      </c>
      <c r="M73" s="472">
        <v>45.857</v>
      </c>
      <c r="N73" s="473">
        <f t="shared" si="47"/>
        <v>114.708</v>
      </c>
      <c r="O73" s="448">
        <f t="shared" si="39"/>
        <v>0.011361388128118002</v>
      </c>
      <c r="P73" s="509"/>
      <c r="Q73" s="506"/>
      <c r="R73" s="512"/>
      <c r="S73" s="506"/>
      <c r="T73" s="512"/>
      <c r="U73" s="506"/>
      <c r="V73" s="517"/>
      <c r="W73" s="515"/>
      <c r="Y73" s="525">
        <v>363</v>
      </c>
      <c r="Z73" s="506">
        <f t="shared" si="40"/>
        <v>0.026222639601242506</v>
      </c>
      <c r="AA73" s="512">
        <v>106</v>
      </c>
      <c r="AB73" s="506">
        <f t="shared" si="41"/>
        <v>0.011054333089998957</v>
      </c>
      <c r="AC73" s="512">
        <v>28</v>
      </c>
      <c r="AD73" s="506">
        <f t="shared" si="48"/>
        <v>0.009540034071550256</v>
      </c>
      <c r="AE73" s="512">
        <f t="shared" si="49"/>
        <v>497</v>
      </c>
      <c r="AF73" s="32">
        <f t="shared" si="42"/>
        <v>0.018849319224788563</v>
      </c>
      <c r="AG73" s="509"/>
      <c r="AH73" s="506">
        <f t="shared" si="43"/>
        <v>0</v>
      </c>
      <c r="AI73" s="512">
        <v>0</v>
      </c>
      <c r="AJ73" s="506">
        <f t="shared" si="57"/>
        <v>0</v>
      </c>
      <c r="AK73" s="512"/>
      <c r="AL73" s="506">
        <f t="shared" si="58"/>
        <v>0</v>
      </c>
      <c r="AM73" s="512">
        <f t="shared" si="50"/>
        <v>0</v>
      </c>
      <c r="AN73" s="438">
        <f t="shared" si="51"/>
        <v>0</v>
      </c>
      <c r="AO73" s="509">
        <v>6927.84</v>
      </c>
      <c r="AP73" s="506">
        <f t="shared" si="52"/>
        <v>0.02103428655748098</v>
      </c>
      <c r="AQ73" s="512">
        <v>10337.7</v>
      </c>
      <c r="AR73" s="506">
        <f t="shared" si="52"/>
        <v>0.013003760004556601</v>
      </c>
      <c r="AS73" s="512">
        <v>216.24</v>
      </c>
      <c r="AT73" s="506">
        <f>AS73/AS$64</f>
        <v>0.003147440652171129</v>
      </c>
      <c r="AU73" s="512">
        <f t="shared" si="53"/>
        <v>17481.780000000002</v>
      </c>
      <c r="AV73" s="438">
        <f t="shared" si="54"/>
        <v>0.014653130832261703</v>
      </c>
      <c r="AW73" s="509">
        <v>3995.34</v>
      </c>
      <c r="AX73" s="506">
        <f>AW73/AW$64</f>
        <v>0.008011204385186675</v>
      </c>
      <c r="AY73" s="512">
        <v>246.84</v>
      </c>
      <c r="AZ73" s="506">
        <f>AY73/AY$64</f>
        <v>0.0003339577114074483</v>
      </c>
      <c r="BA73" s="512">
        <v>433.5</v>
      </c>
      <c r="BB73" s="506">
        <f>BA73/BA$64</f>
        <v>0.022732683568386307</v>
      </c>
      <c r="BC73" s="512">
        <f t="shared" si="55"/>
        <v>4675.68</v>
      </c>
      <c r="BD73" s="515">
        <f t="shared" si="56"/>
        <v>0.003719938575760167</v>
      </c>
      <c r="BE73" s="338"/>
      <c r="BF73" s="338"/>
      <c r="BG73" s="66"/>
    </row>
    <row r="74" spans="1:59" ht="11.25" customHeight="1">
      <c r="A74" s="422">
        <v>21000</v>
      </c>
      <c r="B74" s="423" t="s">
        <v>89</v>
      </c>
      <c r="C74" s="346">
        <v>203283.91999999998</v>
      </c>
      <c r="D74" s="454">
        <f t="shared" si="44"/>
        <v>0.1333695484246462</v>
      </c>
      <c r="E74" s="437">
        <v>5738</v>
      </c>
      <c r="F74" s="448">
        <f t="shared" si="38"/>
        <v>0.022149907547876303</v>
      </c>
      <c r="G74" s="437">
        <v>680280</v>
      </c>
      <c r="H74" s="448">
        <f t="shared" si="45"/>
        <v>0.14986864518187384</v>
      </c>
      <c r="I74" s="346">
        <v>552867.49</v>
      </c>
      <c r="J74" s="451">
        <f t="shared" si="46"/>
        <v>0.12247196758844528</v>
      </c>
      <c r="K74" s="29"/>
      <c r="L74" s="474">
        <v>189.077</v>
      </c>
      <c r="M74" s="472">
        <v>316.665</v>
      </c>
      <c r="N74" s="473">
        <f t="shared" si="47"/>
        <v>947.69</v>
      </c>
      <c r="O74" s="448">
        <f t="shared" si="39"/>
        <v>0.0938650653410063</v>
      </c>
      <c r="P74" s="509"/>
      <c r="Q74" s="506"/>
      <c r="R74" s="512"/>
      <c r="S74" s="506"/>
      <c r="T74" s="512"/>
      <c r="U74" s="506"/>
      <c r="V74" s="517"/>
      <c r="W74" s="515"/>
      <c r="Y74" s="525">
        <v>1327</v>
      </c>
      <c r="Z74" s="506">
        <f t="shared" si="40"/>
        <v>0.0958607238315394</v>
      </c>
      <c r="AA74" s="512">
        <v>465</v>
      </c>
      <c r="AB74" s="506">
        <f t="shared" si="41"/>
        <v>0.04849306497027844</v>
      </c>
      <c r="AC74" s="512">
        <v>218</v>
      </c>
      <c r="AD74" s="506">
        <f>AC74/AC$64</f>
        <v>0.07427597955706984</v>
      </c>
      <c r="AE74" s="512">
        <f t="shared" si="49"/>
        <v>2010</v>
      </c>
      <c r="AF74" s="32">
        <f t="shared" si="42"/>
        <v>0.07623165320286722</v>
      </c>
      <c r="AG74" s="509">
        <v>59</v>
      </c>
      <c r="AH74" s="506">
        <f t="shared" si="43"/>
        <v>0.23983739837398374</v>
      </c>
      <c r="AI74" s="512">
        <v>41</v>
      </c>
      <c r="AJ74" s="506">
        <f t="shared" si="57"/>
        <v>0.013707790036776997</v>
      </c>
      <c r="AK74" s="512">
        <v>5</v>
      </c>
      <c r="AL74" s="506">
        <f t="shared" si="58"/>
        <v>0.02702702702702703</v>
      </c>
      <c r="AM74" s="512">
        <f t="shared" si="50"/>
        <v>105</v>
      </c>
      <c r="AN74" s="438">
        <f t="shared" si="51"/>
        <v>0.030683810637054353</v>
      </c>
      <c r="AO74" s="509">
        <v>16232.28</v>
      </c>
      <c r="AP74" s="506">
        <f t="shared" si="52"/>
        <v>0.049284398744957644</v>
      </c>
      <c r="AQ74" s="512">
        <v>73029.96</v>
      </c>
      <c r="AR74" s="506">
        <f t="shared" si="52"/>
        <v>0.09186415479094658</v>
      </c>
      <c r="AS74" s="512">
        <v>5125.5</v>
      </c>
      <c r="AT74" s="506">
        <f>AS74/AS$64</f>
        <v>0.07460325130735813</v>
      </c>
      <c r="AU74" s="512">
        <f t="shared" si="53"/>
        <v>94387.74</v>
      </c>
      <c r="AV74" s="438">
        <f t="shared" si="54"/>
        <v>0.07911527906091377</v>
      </c>
      <c r="AW74" s="509">
        <v>46255.98</v>
      </c>
      <c r="AX74" s="506">
        <f>AW74/AW$64</f>
        <v>0.0927495807158107</v>
      </c>
      <c r="AY74" s="512">
        <v>114355.26</v>
      </c>
      <c r="AZ74" s="506">
        <f>AY74/AY$64</f>
        <v>0.15471487974802994</v>
      </c>
      <c r="BA74" s="512">
        <v>1008.78</v>
      </c>
      <c r="BB74" s="506">
        <f>BA74/BA$64</f>
        <v>0.05290029188031543</v>
      </c>
      <c r="BC74" s="512">
        <f t="shared" si="55"/>
        <v>161620.02</v>
      </c>
      <c r="BD74" s="515">
        <f t="shared" si="56"/>
        <v>0.12858376685597167</v>
      </c>
      <c r="BE74" s="338"/>
      <c r="BF74" s="338"/>
      <c r="BG74" s="66"/>
    </row>
    <row r="75" spans="1:59" ht="11.25" customHeight="1">
      <c r="A75" s="422">
        <v>22000</v>
      </c>
      <c r="B75" s="423" t="s">
        <v>90</v>
      </c>
      <c r="C75" s="346">
        <v>65034.167</v>
      </c>
      <c r="D75" s="454">
        <f t="shared" si="44"/>
        <v>0.04266730730577721</v>
      </c>
      <c r="E75" s="437"/>
      <c r="F75" s="448">
        <f t="shared" si="38"/>
        <v>0</v>
      </c>
      <c r="G75" s="437">
        <v>209485.07</v>
      </c>
      <c r="H75" s="448">
        <f t="shared" si="45"/>
        <v>0.0461504727858088</v>
      </c>
      <c r="I75" s="346">
        <v>122027.03999999998</v>
      </c>
      <c r="J75" s="451">
        <f t="shared" si="46"/>
        <v>0.02703159791109062</v>
      </c>
      <c r="K75" s="29"/>
      <c r="L75" s="474">
        <v>60.22</v>
      </c>
      <c r="M75" s="472">
        <v>99.28</v>
      </c>
      <c r="N75" s="473">
        <f t="shared" si="47"/>
        <v>299.47</v>
      </c>
      <c r="O75" s="448">
        <f t="shared" si="39"/>
        <v>0.02966135668591117</v>
      </c>
      <c r="P75" s="509"/>
      <c r="Q75" s="506"/>
      <c r="R75" s="512"/>
      <c r="S75" s="506"/>
      <c r="T75" s="512"/>
      <c r="U75" s="506"/>
      <c r="V75" s="517"/>
      <c r="W75" s="515"/>
      <c r="Y75" s="525">
        <v>214</v>
      </c>
      <c r="Z75" s="506">
        <f t="shared" si="40"/>
        <v>0.015459076789713212</v>
      </c>
      <c r="AA75" s="512">
        <v>51</v>
      </c>
      <c r="AB75" s="506">
        <f t="shared" si="41"/>
        <v>0.005318594222546668</v>
      </c>
      <c r="AC75" s="512">
        <v>72</v>
      </c>
      <c r="AD75" s="506">
        <f t="shared" si="48"/>
        <v>0.02453151618398637</v>
      </c>
      <c r="AE75" s="512">
        <f t="shared" si="49"/>
        <v>337</v>
      </c>
      <c r="AF75" s="32">
        <f t="shared" si="42"/>
        <v>0.012781127925057837</v>
      </c>
      <c r="AG75" s="509">
        <v>6</v>
      </c>
      <c r="AH75" s="506">
        <f t="shared" si="43"/>
        <v>0.024390243902439025</v>
      </c>
      <c r="AI75" s="512">
        <v>3</v>
      </c>
      <c r="AJ75" s="506">
        <f t="shared" si="57"/>
        <v>0.0010030090270812437</v>
      </c>
      <c r="AK75" s="512">
        <v>5</v>
      </c>
      <c r="AL75" s="506">
        <f t="shared" si="58"/>
        <v>0.02702702702702703</v>
      </c>
      <c r="AM75" s="512">
        <f t="shared" si="50"/>
        <v>14</v>
      </c>
      <c r="AN75" s="438">
        <f t="shared" si="51"/>
        <v>0.004091174751607247</v>
      </c>
      <c r="AO75" s="509">
        <v>1401.48</v>
      </c>
      <c r="AP75" s="506">
        <f t="shared" si="52"/>
        <v>0.004255169277087583</v>
      </c>
      <c r="AQ75" s="512">
        <v>12563.34</v>
      </c>
      <c r="AR75" s="506">
        <f t="shared" si="52"/>
        <v>0.01580338549345078</v>
      </c>
      <c r="AS75" s="512">
        <v>1689.1200000000001</v>
      </c>
      <c r="AT75" s="506">
        <f>AS75/AS$64</f>
        <v>0.024585668490544294</v>
      </c>
      <c r="AU75" s="512">
        <f t="shared" si="53"/>
        <v>15653.94</v>
      </c>
      <c r="AV75" s="438">
        <f t="shared" si="54"/>
        <v>0.01312104550339695</v>
      </c>
      <c r="AW75" s="509">
        <v>5573.28</v>
      </c>
      <c r="AX75" s="506">
        <f>AW75/AW$64</f>
        <v>0.011175190390773549</v>
      </c>
      <c r="AY75" s="512">
        <v>13520.1</v>
      </c>
      <c r="AZ75" s="506">
        <f>AY75/AY$64</f>
        <v>0.018291774647544327</v>
      </c>
      <c r="BA75" s="512">
        <v>788.46</v>
      </c>
      <c r="BB75" s="506">
        <f>BA75/BA$64</f>
        <v>0.041346739760853214</v>
      </c>
      <c r="BC75" s="512">
        <f t="shared" si="55"/>
        <v>19881.84</v>
      </c>
      <c r="BD75" s="515">
        <f t="shared" si="56"/>
        <v>0.015817853996229748</v>
      </c>
      <c r="BE75" s="338"/>
      <c r="BF75" s="338"/>
      <c r="BG75" s="66"/>
    </row>
    <row r="76" spans="1:59" ht="11.25" customHeight="1">
      <c r="A76" s="422">
        <v>23000</v>
      </c>
      <c r="B76" s="423" t="s">
        <v>91</v>
      </c>
      <c r="C76" s="346">
        <v>50854.88300000001</v>
      </c>
      <c r="D76" s="454">
        <f t="shared" si="44"/>
        <v>0.03336463002532723</v>
      </c>
      <c r="E76" s="437">
        <v>16104</v>
      </c>
      <c r="F76" s="448">
        <f t="shared" si="38"/>
        <v>0.062164885177936564</v>
      </c>
      <c r="G76" s="437">
        <v>177503.91</v>
      </c>
      <c r="H76" s="448">
        <f t="shared" si="45"/>
        <v>0.03910488402743763</v>
      </c>
      <c r="I76" s="346">
        <v>108735.63</v>
      </c>
      <c r="J76" s="451">
        <f t="shared" si="46"/>
        <v>0.024087266467900253</v>
      </c>
      <c r="K76" s="29"/>
      <c r="L76" s="474">
        <v>68.896</v>
      </c>
      <c r="M76" s="472">
        <v>136.493</v>
      </c>
      <c r="N76" s="473">
        <f t="shared" si="47"/>
        <v>376.97950000000003</v>
      </c>
      <c r="O76" s="448">
        <f t="shared" si="39"/>
        <v>0.03733837583990533</v>
      </c>
      <c r="P76" s="509"/>
      <c r="Q76" s="506"/>
      <c r="R76" s="512"/>
      <c r="S76" s="506"/>
      <c r="T76" s="512"/>
      <c r="U76" s="506"/>
      <c r="V76" s="517"/>
      <c r="W76" s="515"/>
      <c r="Y76" s="525">
        <v>274</v>
      </c>
      <c r="Z76" s="506">
        <f t="shared" si="40"/>
        <v>0.01979339738495991</v>
      </c>
      <c r="AA76" s="512">
        <v>95</v>
      </c>
      <c r="AB76" s="506">
        <f>AA76/AA$64</f>
        <v>0.009907185316508499</v>
      </c>
      <c r="AC76" s="512">
        <v>27</v>
      </c>
      <c r="AD76" s="506">
        <f t="shared" si="48"/>
        <v>0.009199318568994889</v>
      </c>
      <c r="AE76" s="512">
        <f t="shared" si="49"/>
        <v>396</v>
      </c>
      <c r="AF76" s="32">
        <f t="shared" si="42"/>
        <v>0.015018773466833541</v>
      </c>
      <c r="AG76" s="509"/>
      <c r="AH76" s="506">
        <f t="shared" si="43"/>
        <v>0</v>
      </c>
      <c r="AI76" s="512">
        <v>0</v>
      </c>
      <c r="AJ76" s="506">
        <f t="shared" si="57"/>
        <v>0</v>
      </c>
      <c r="AK76" s="512"/>
      <c r="AL76" s="506">
        <f t="shared" si="58"/>
        <v>0</v>
      </c>
      <c r="AM76" s="512">
        <f t="shared" si="50"/>
        <v>0</v>
      </c>
      <c r="AN76" s="438">
        <f t="shared" si="51"/>
        <v>0</v>
      </c>
      <c r="AO76" s="509">
        <v>11872.800000000001</v>
      </c>
      <c r="AP76" s="506">
        <f t="shared" si="52"/>
        <v>0.03604815894126599</v>
      </c>
      <c r="AQ76" s="512">
        <v>23355.96</v>
      </c>
      <c r="AR76" s="506">
        <f t="shared" si="52"/>
        <v>0.029379387921493538</v>
      </c>
      <c r="AS76" s="512">
        <v>3725.04</v>
      </c>
      <c r="AT76" s="506">
        <f>AS76/AS$64</f>
        <v>0.05421911915909888</v>
      </c>
      <c r="AU76" s="512">
        <f t="shared" si="53"/>
        <v>38953.8</v>
      </c>
      <c r="AV76" s="438">
        <f t="shared" si="54"/>
        <v>0.03265085865476833</v>
      </c>
      <c r="AW76" s="509">
        <v>14686.98</v>
      </c>
      <c r="AX76" s="506">
        <f>AW76/AW$64</f>
        <v>0.029449408205847058</v>
      </c>
      <c r="AY76" s="512">
        <v>7207.32</v>
      </c>
      <c r="AZ76" s="506">
        <f>AY76/AY$64</f>
        <v>0.009751013176880288</v>
      </c>
      <c r="BA76" s="512">
        <v>277.44</v>
      </c>
      <c r="BB76" s="506">
        <f>BA76/BA$64</f>
        <v>0.014548917483767236</v>
      </c>
      <c r="BC76" s="512">
        <f t="shared" si="55"/>
        <v>22171.739999999998</v>
      </c>
      <c r="BD76" s="515">
        <f t="shared" si="56"/>
        <v>0.01763968255263934</v>
      </c>
      <c r="BE76" s="338"/>
      <c r="BF76" s="338"/>
      <c r="BG76" s="66"/>
    </row>
    <row r="77" spans="1:59" ht="11.25" customHeight="1">
      <c r="A77" s="422">
        <v>24000</v>
      </c>
      <c r="B77" s="423" t="s">
        <v>92</v>
      </c>
      <c r="C77" s="346">
        <v>22278.981000000003</v>
      </c>
      <c r="D77" s="454">
        <f t="shared" si="44"/>
        <v>0.01461668800626864</v>
      </c>
      <c r="E77" s="437">
        <v>7015</v>
      </c>
      <c r="F77" s="448">
        <f t="shared" si="38"/>
        <v>0.02707940074038903</v>
      </c>
      <c r="G77" s="437">
        <v>141839.61000000002</v>
      </c>
      <c r="H77" s="448">
        <f t="shared" si="45"/>
        <v>0.031247883494774753</v>
      </c>
      <c r="I77" s="346">
        <v>134936.34</v>
      </c>
      <c r="J77" s="451">
        <f t="shared" si="46"/>
        <v>0.029891283820981104</v>
      </c>
      <c r="K77" s="29"/>
      <c r="L77" s="474">
        <v>50.4</v>
      </c>
      <c r="M77" s="472">
        <v>97.619</v>
      </c>
      <c r="N77" s="473">
        <f t="shared" si="47"/>
        <v>272.4285</v>
      </c>
      <c r="O77" s="448">
        <f t="shared" si="39"/>
        <v>0.02698299966576869</v>
      </c>
      <c r="P77" s="509"/>
      <c r="Q77" s="506"/>
      <c r="R77" s="512"/>
      <c r="S77" s="506"/>
      <c r="T77" s="512"/>
      <c r="U77" s="506"/>
      <c r="V77" s="517"/>
      <c r="W77" s="515"/>
      <c r="Y77" s="525">
        <v>343</v>
      </c>
      <c r="Z77" s="506">
        <f t="shared" si="40"/>
        <v>0.024777866069493608</v>
      </c>
      <c r="AA77" s="512">
        <v>131</v>
      </c>
      <c r="AB77" s="506">
        <f t="shared" si="41"/>
        <v>0.013661487120659089</v>
      </c>
      <c r="AC77" s="512">
        <v>50</v>
      </c>
      <c r="AD77" s="506">
        <f t="shared" si="48"/>
        <v>0.017035775127768313</v>
      </c>
      <c r="AE77" s="512">
        <f t="shared" si="49"/>
        <v>524</v>
      </c>
      <c r="AF77" s="32">
        <f t="shared" si="42"/>
        <v>0.019873326506618123</v>
      </c>
      <c r="AG77" s="509">
        <v>6</v>
      </c>
      <c r="AH77" s="506">
        <f t="shared" si="43"/>
        <v>0.024390243902439025</v>
      </c>
      <c r="AI77" s="512">
        <v>2</v>
      </c>
      <c r="AJ77" s="506">
        <f t="shared" si="57"/>
        <v>0.0006686726847208291</v>
      </c>
      <c r="AK77" s="512">
        <v>1</v>
      </c>
      <c r="AL77" s="506">
        <f t="shared" si="58"/>
        <v>0.005405405405405406</v>
      </c>
      <c r="AM77" s="512">
        <f t="shared" si="50"/>
        <v>9</v>
      </c>
      <c r="AN77" s="438">
        <f t="shared" si="51"/>
        <v>0.002630040911747516</v>
      </c>
      <c r="AO77" s="509">
        <v>13640.099999999999</v>
      </c>
      <c r="AP77" s="506">
        <f t="shared" si="52"/>
        <v>0.041414029780233994</v>
      </c>
      <c r="AQ77" s="512">
        <v>14094.96</v>
      </c>
      <c r="AR77" s="506">
        <f t="shared" si="52"/>
        <v>0.01773000542807637</v>
      </c>
      <c r="AS77" s="512">
        <v>3254.7</v>
      </c>
      <c r="AT77" s="506">
        <f>AS77/AS$64</f>
        <v>0.0473731737450119</v>
      </c>
      <c r="AU77" s="512">
        <f t="shared" si="53"/>
        <v>30989.76</v>
      </c>
      <c r="AV77" s="438">
        <f t="shared" si="54"/>
        <v>0.02597544459090495</v>
      </c>
      <c r="AW77" s="509">
        <v>11569.859999999999</v>
      </c>
      <c r="AX77" s="506">
        <f>AW77/AW$64</f>
        <v>0.023199155307932713</v>
      </c>
      <c r="AY77" s="512">
        <v>4306.92</v>
      </c>
      <c r="AZ77" s="506">
        <f>AY77/AY$64</f>
        <v>0.005826969479885623</v>
      </c>
      <c r="BA77" s="512">
        <v>1551.54</v>
      </c>
      <c r="BB77" s="506">
        <f>BA77/BA$64</f>
        <v>0.0813625556255919</v>
      </c>
      <c r="BC77" s="512">
        <f t="shared" si="55"/>
        <v>17428.32</v>
      </c>
      <c r="BD77" s="515">
        <f t="shared" si="56"/>
        <v>0.013865850502748783</v>
      </c>
      <c r="BE77" s="338"/>
      <c r="BF77" s="338"/>
      <c r="BG77" s="66"/>
    </row>
    <row r="78" spans="1:59" ht="11.25" customHeight="1">
      <c r="A78" s="422">
        <v>25000</v>
      </c>
      <c r="B78" s="423" t="s">
        <v>93</v>
      </c>
      <c r="C78" s="346">
        <v>46803.10999999991</v>
      </c>
      <c r="D78" s="454">
        <f t="shared" si="44"/>
        <v>0.030706362045601208</v>
      </c>
      <c r="E78" s="437"/>
      <c r="F78" s="448">
        <f t="shared" si="38"/>
        <v>0</v>
      </c>
      <c r="G78" s="437">
        <v>79687.54000000001</v>
      </c>
      <c r="H78" s="448">
        <f t="shared" si="45"/>
        <v>0.01755551193284586</v>
      </c>
      <c r="I78" s="346">
        <v>69696.93</v>
      </c>
      <c r="J78" s="451">
        <f t="shared" si="46"/>
        <v>0.015439359894310549</v>
      </c>
      <c r="K78" s="29"/>
      <c r="L78" s="474">
        <v>55.039</v>
      </c>
      <c r="M78" s="472">
        <v>100.271</v>
      </c>
      <c r="N78" s="473">
        <f t="shared" si="47"/>
        <v>288.004</v>
      </c>
      <c r="O78" s="448">
        <f t="shared" si="39"/>
        <v>0.02852569329471787</v>
      </c>
      <c r="P78" s="509"/>
      <c r="Q78" s="506"/>
      <c r="R78" s="512"/>
      <c r="S78" s="506"/>
      <c r="T78" s="512"/>
      <c r="U78" s="506"/>
      <c r="V78" s="517"/>
      <c r="W78" s="515"/>
      <c r="Y78" s="525">
        <v>136</v>
      </c>
      <c r="Z78" s="506">
        <f t="shared" si="40"/>
        <v>0.00982446001589251</v>
      </c>
      <c r="AA78" s="512">
        <v>46</v>
      </c>
      <c r="AB78" s="506">
        <f t="shared" si="41"/>
        <v>0.004797163416414642</v>
      </c>
      <c r="AC78" s="512">
        <v>35</v>
      </c>
      <c r="AD78" s="506">
        <f t="shared" si="48"/>
        <v>0.01192504258943782</v>
      </c>
      <c r="AE78" s="512">
        <f t="shared" si="49"/>
        <v>217</v>
      </c>
      <c r="AF78" s="32">
        <f t="shared" si="42"/>
        <v>0.008229984450259794</v>
      </c>
      <c r="AG78" s="509"/>
      <c r="AH78" s="506">
        <f t="shared" si="43"/>
        <v>0</v>
      </c>
      <c r="AI78" s="512">
        <v>0</v>
      </c>
      <c r="AJ78" s="506">
        <f t="shared" si="57"/>
        <v>0</v>
      </c>
      <c r="AK78" s="512"/>
      <c r="AL78" s="506">
        <f t="shared" si="58"/>
        <v>0</v>
      </c>
      <c r="AM78" s="512">
        <f t="shared" si="50"/>
        <v>0</v>
      </c>
      <c r="AN78" s="438">
        <f t="shared" si="51"/>
        <v>0</v>
      </c>
      <c r="AO78" s="509">
        <v>17652.12</v>
      </c>
      <c r="AP78" s="506">
        <f t="shared" si="52"/>
        <v>0.05359531259772759</v>
      </c>
      <c r="AQ78" s="512">
        <v>7491.900000000001</v>
      </c>
      <c r="AR78" s="506">
        <f t="shared" si="52"/>
        <v>0.009424037220865144</v>
      </c>
      <c r="AS78" s="512">
        <v>982.26</v>
      </c>
      <c r="AT78" s="506">
        <f>AS78/AS$64</f>
        <v>0.014297100698305648</v>
      </c>
      <c r="AU78" s="512">
        <f t="shared" si="53"/>
        <v>26126.28</v>
      </c>
      <c r="AV78" s="438">
        <f t="shared" si="54"/>
        <v>0.021898902686128197</v>
      </c>
      <c r="AW78" s="509">
        <v>17746.98</v>
      </c>
      <c r="AX78" s="506">
        <f>AW78/AW$64</f>
        <v>0.03558512767369491</v>
      </c>
      <c r="AY78" s="512">
        <v>5895.6</v>
      </c>
      <c r="AZ78" s="506">
        <f>AY78/AY$64</f>
        <v>0.007976345338574591</v>
      </c>
      <c r="BA78" s="512">
        <v>532.44</v>
      </c>
      <c r="BB78" s="506">
        <f>BA78/BA$64</f>
        <v>0.02792108428870036</v>
      </c>
      <c r="BC78" s="512">
        <f t="shared" si="55"/>
        <v>24175.02</v>
      </c>
      <c r="BD78" s="515">
        <f t="shared" si="56"/>
        <v>0.019233478225150896</v>
      </c>
      <c r="BE78" s="338"/>
      <c r="BF78" s="338"/>
      <c r="BG78" s="66"/>
    </row>
    <row r="79" spans="1:59" ht="11.25" customHeight="1">
      <c r="A79" s="422">
        <v>26000</v>
      </c>
      <c r="B79" s="423" t="s">
        <v>94</v>
      </c>
      <c r="C79" s="346">
        <v>124761.10900000001</v>
      </c>
      <c r="D79" s="454">
        <f t="shared" si="44"/>
        <v>0.08185267564836446</v>
      </c>
      <c r="E79" s="437">
        <v>18704</v>
      </c>
      <c r="F79" s="448">
        <f t="shared" si="38"/>
        <v>0.0722014414038826</v>
      </c>
      <c r="G79" s="437">
        <v>385002.17</v>
      </c>
      <c r="H79" s="448">
        <f t="shared" si="45"/>
        <v>0.08481765392188727</v>
      </c>
      <c r="I79" s="346">
        <v>386125.49</v>
      </c>
      <c r="J79" s="451">
        <f t="shared" si="46"/>
        <v>0.08553505017332914</v>
      </c>
      <c r="K79" s="29"/>
      <c r="L79" s="474">
        <v>120.147</v>
      </c>
      <c r="M79" s="472">
        <v>247.974</v>
      </c>
      <c r="N79" s="473">
        <f t="shared" si="47"/>
        <v>672.3285000000001</v>
      </c>
      <c r="O79" s="448">
        <f t="shared" si="39"/>
        <v>0.06659156325709964</v>
      </c>
      <c r="P79" s="509"/>
      <c r="Q79" s="506"/>
      <c r="R79" s="512"/>
      <c r="S79" s="506"/>
      <c r="T79" s="512"/>
      <c r="U79" s="506"/>
      <c r="V79" s="517"/>
      <c r="W79" s="515"/>
      <c r="Y79" s="525">
        <v>1635</v>
      </c>
      <c r="Z79" s="506">
        <f t="shared" si="40"/>
        <v>0.11811023622047244</v>
      </c>
      <c r="AA79" s="512">
        <v>712</v>
      </c>
      <c r="AB79" s="506">
        <f t="shared" si="41"/>
        <v>0.07425174679320054</v>
      </c>
      <c r="AC79" s="512">
        <v>176</v>
      </c>
      <c r="AD79" s="506">
        <f t="shared" si="48"/>
        <v>0.059965928449744466</v>
      </c>
      <c r="AE79" s="512">
        <f t="shared" si="49"/>
        <v>2523</v>
      </c>
      <c r="AF79" s="32">
        <f t="shared" si="42"/>
        <v>0.09568779155762885</v>
      </c>
      <c r="AG79" s="509">
        <v>2</v>
      </c>
      <c r="AH79" s="506">
        <f t="shared" si="43"/>
        <v>0.008130081300813009</v>
      </c>
      <c r="AI79" s="512">
        <v>3</v>
      </c>
      <c r="AJ79" s="506">
        <f t="shared" si="57"/>
        <v>0.0010030090270812437</v>
      </c>
      <c r="AK79" s="512">
        <v>8</v>
      </c>
      <c r="AL79" s="506">
        <f t="shared" si="58"/>
        <v>0.043243243243243246</v>
      </c>
      <c r="AM79" s="512">
        <f t="shared" si="50"/>
        <v>13</v>
      </c>
      <c r="AN79" s="438">
        <f t="shared" si="51"/>
        <v>0.003798947983635301</v>
      </c>
      <c r="AO79" s="509">
        <v>20622.6</v>
      </c>
      <c r="AP79" s="506">
        <f t="shared" si="52"/>
        <v>0.0626142748620504</v>
      </c>
      <c r="AQ79" s="512">
        <v>55255.799999999996</v>
      </c>
      <c r="AR79" s="506">
        <f t="shared" si="52"/>
        <v>0.06950609536548541</v>
      </c>
      <c r="AS79" s="512">
        <v>12333.659999999998</v>
      </c>
      <c r="AT79" s="506">
        <f>AS79/AS$64</f>
        <v>0.1795202685629715</v>
      </c>
      <c r="AU79" s="512">
        <f t="shared" si="53"/>
        <v>88212.06</v>
      </c>
      <c r="AV79" s="438">
        <f t="shared" si="54"/>
        <v>0.07393885840934498</v>
      </c>
      <c r="AW79" s="509">
        <v>33729.18</v>
      </c>
      <c r="AX79" s="506">
        <f>AW79/AW$64</f>
        <v>0.06763162952958963</v>
      </c>
      <c r="AY79" s="512">
        <v>52779.719999999994</v>
      </c>
      <c r="AZ79" s="506">
        <f>AY79/AY$64</f>
        <v>0.07140736712010179</v>
      </c>
      <c r="BA79" s="512">
        <v>2162.58</v>
      </c>
      <c r="BB79" s="506">
        <f>BA79/BA$64</f>
        <v>0.11340541368240105</v>
      </c>
      <c r="BC79" s="512">
        <f t="shared" si="55"/>
        <v>88671.48</v>
      </c>
      <c r="BD79" s="515">
        <f t="shared" si="56"/>
        <v>0.07054641442993234</v>
      </c>
      <c r="BE79" s="338"/>
      <c r="BF79" s="338"/>
      <c r="BG79" s="66"/>
    </row>
    <row r="80" spans="1:59" ht="11.25" customHeight="1">
      <c r="A80" s="422">
        <v>27000</v>
      </c>
      <c r="B80" s="423" t="s">
        <v>95</v>
      </c>
      <c r="C80" s="346">
        <v>34915.77500000001</v>
      </c>
      <c r="D80" s="454">
        <f t="shared" si="44"/>
        <v>0.022907375775942106</v>
      </c>
      <c r="E80" s="437"/>
      <c r="F80" s="448">
        <f t="shared" si="38"/>
        <v>0</v>
      </c>
      <c r="G80" s="437">
        <v>216669.6</v>
      </c>
      <c r="H80" s="448">
        <f t="shared" si="45"/>
        <v>0.04773325601825504</v>
      </c>
      <c r="I80" s="346">
        <v>210674.5</v>
      </c>
      <c r="J80" s="451">
        <f t="shared" si="46"/>
        <v>0.04666890530262851</v>
      </c>
      <c r="K80" s="29"/>
      <c r="L80" s="474">
        <v>114.925</v>
      </c>
      <c r="M80" s="472">
        <v>190.144</v>
      </c>
      <c r="N80" s="473">
        <f t="shared" si="47"/>
        <v>572.5285</v>
      </c>
      <c r="O80" s="448">
        <f t="shared" si="39"/>
        <v>0.05670675543910807</v>
      </c>
      <c r="P80" s="509"/>
      <c r="Q80" s="506"/>
      <c r="R80" s="512"/>
      <c r="S80" s="506"/>
      <c r="T80" s="512"/>
      <c r="U80" s="506"/>
      <c r="V80" s="517"/>
      <c r="W80" s="515"/>
      <c r="Y80" s="525">
        <v>683</v>
      </c>
      <c r="Z80" s="506">
        <f t="shared" si="40"/>
        <v>0.04933901610922488</v>
      </c>
      <c r="AA80" s="512">
        <v>372</v>
      </c>
      <c r="AB80" s="506">
        <f t="shared" si="41"/>
        <v>0.038794451976222756</v>
      </c>
      <c r="AC80" s="512">
        <v>118</v>
      </c>
      <c r="AD80" s="506">
        <f t="shared" si="48"/>
        <v>0.04020442930153322</v>
      </c>
      <c r="AE80" s="512">
        <f t="shared" si="49"/>
        <v>1173</v>
      </c>
      <c r="AF80" s="32">
        <f t="shared" si="42"/>
        <v>0.04448742746615087</v>
      </c>
      <c r="AG80" s="509"/>
      <c r="AH80" s="506">
        <f t="shared" si="43"/>
        <v>0</v>
      </c>
      <c r="AI80" s="512">
        <v>4</v>
      </c>
      <c r="AJ80" s="506">
        <f t="shared" si="57"/>
        <v>0.0013373453694416582</v>
      </c>
      <c r="AK80" s="512">
        <v>22</v>
      </c>
      <c r="AL80" s="506">
        <f t="shared" si="58"/>
        <v>0.11891891891891893</v>
      </c>
      <c r="AM80" s="512">
        <f t="shared" si="50"/>
        <v>26</v>
      </c>
      <c r="AN80" s="438">
        <f t="shared" si="51"/>
        <v>0.007597895967270602</v>
      </c>
      <c r="AO80" s="509">
        <v>9416.4</v>
      </c>
      <c r="AP80" s="506">
        <f t="shared" si="52"/>
        <v>0.028590044796049544</v>
      </c>
      <c r="AQ80" s="512">
        <v>26128.8</v>
      </c>
      <c r="AR80" s="506">
        <f t="shared" si="52"/>
        <v>0.032867334552855905</v>
      </c>
      <c r="AS80" s="512">
        <v>3801.8999999999996</v>
      </c>
      <c r="AT80" s="506">
        <f>AS80/AS$64</f>
        <v>0.05533784043419078</v>
      </c>
      <c r="AU80" s="512">
        <f t="shared" si="53"/>
        <v>39347.1</v>
      </c>
      <c r="AV80" s="438">
        <f t="shared" si="54"/>
        <v>0.03298052052880681</v>
      </c>
      <c r="AW80" s="509">
        <v>36998.7</v>
      </c>
      <c r="AX80" s="506">
        <f>AW80/AW$64</f>
        <v>0.07418746531864777</v>
      </c>
      <c r="AY80" s="512">
        <v>9284.16</v>
      </c>
      <c r="AZ80" s="506">
        <f>AY80/AY$64</f>
        <v>0.012560836274269061</v>
      </c>
      <c r="BA80" s="512">
        <v>679.4399999999999</v>
      </c>
      <c r="BB80" s="506">
        <f>BA80/BA$64</f>
        <v>0.035629745152720625</v>
      </c>
      <c r="BC80" s="512">
        <f t="shared" si="55"/>
        <v>46962.3</v>
      </c>
      <c r="BD80" s="515">
        <f t="shared" si="56"/>
        <v>0.03736288013217792</v>
      </c>
      <c r="BE80" s="338"/>
      <c r="BF80" s="338"/>
      <c r="BG80" s="66"/>
    </row>
    <row r="81" spans="1:59" ht="11.25" customHeight="1">
      <c r="A81" s="422">
        <v>28000</v>
      </c>
      <c r="B81" s="423" t="s">
        <v>96</v>
      </c>
      <c r="C81" s="346">
        <v>16255.666000000003</v>
      </c>
      <c r="D81" s="454">
        <f t="shared" si="44"/>
        <v>0.010664940118047092</v>
      </c>
      <c r="E81" s="437">
        <v>10866</v>
      </c>
      <c r="F81" s="448">
        <f t="shared" si="38"/>
        <v>0.04194508459658834</v>
      </c>
      <c r="G81" s="437">
        <v>34504.630000000005</v>
      </c>
      <c r="H81" s="448">
        <f t="shared" si="45"/>
        <v>0.007601520183750574</v>
      </c>
      <c r="I81" s="346">
        <v>47742.47</v>
      </c>
      <c r="J81" s="451">
        <f t="shared" si="46"/>
        <v>0.010575977687587168</v>
      </c>
      <c r="K81" s="29"/>
      <c r="L81" s="474">
        <v>41.692</v>
      </c>
      <c r="M81" s="472">
        <v>80.147</v>
      </c>
      <c r="N81" s="473">
        <f t="shared" si="47"/>
        <v>224.45050000000003</v>
      </c>
      <c r="O81" s="448">
        <f t="shared" si="39"/>
        <v>0.022230962496514194</v>
      </c>
      <c r="P81" s="509"/>
      <c r="Q81" s="506"/>
      <c r="R81" s="512"/>
      <c r="S81" s="506"/>
      <c r="T81" s="512"/>
      <c r="U81" s="506"/>
      <c r="V81" s="517"/>
      <c r="W81" s="515"/>
      <c r="Y81" s="525">
        <v>405</v>
      </c>
      <c r="Z81" s="506">
        <f t="shared" si="40"/>
        <v>0.029256664017915192</v>
      </c>
      <c r="AA81" s="512">
        <v>230</v>
      </c>
      <c r="AB81" s="506">
        <f t="shared" si="41"/>
        <v>0.02398581708207321</v>
      </c>
      <c r="AC81" s="512">
        <v>86</v>
      </c>
      <c r="AD81" s="506">
        <f t="shared" si="48"/>
        <v>0.0293015332197615</v>
      </c>
      <c r="AE81" s="512">
        <f t="shared" si="49"/>
        <v>721</v>
      </c>
      <c r="AF81" s="32">
        <f t="shared" si="42"/>
        <v>0.027344787044411574</v>
      </c>
      <c r="AG81" s="509">
        <v>11</v>
      </c>
      <c r="AH81" s="506">
        <f t="shared" si="43"/>
        <v>0.044715447154471545</v>
      </c>
      <c r="AI81" s="512">
        <v>18</v>
      </c>
      <c r="AJ81" s="506">
        <f t="shared" si="57"/>
        <v>0.006018054162487462</v>
      </c>
      <c r="AK81" s="512">
        <v>25</v>
      </c>
      <c r="AL81" s="506">
        <f t="shared" si="58"/>
        <v>0.13513513513513514</v>
      </c>
      <c r="AM81" s="512">
        <f t="shared" si="50"/>
        <v>54</v>
      </c>
      <c r="AN81" s="438">
        <f t="shared" si="51"/>
        <v>0.015780245470485097</v>
      </c>
      <c r="AO81" s="509">
        <v>12274.68</v>
      </c>
      <c r="AP81" s="506">
        <f t="shared" si="52"/>
        <v>0.037268345764535644</v>
      </c>
      <c r="AQ81" s="512">
        <v>15611.1</v>
      </c>
      <c r="AR81" s="506">
        <f t="shared" si="52"/>
        <v>0.019637153119855824</v>
      </c>
      <c r="AS81" s="512">
        <v>1873.74</v>
      </c>
      <c r="AT81" s="506">
        <f>AS81/AS$64</f>
        <v>0.027272870179426246</v>
      </c>
      <c r="AU81" s="512">
        <f t="shared" si="53"/>
        <v>29759.52</v>
      </c>
      <c r="AV81" s="438">
        <f t="shared" si="54"/>
        <v>0.02494426426057923</v>
      </c>
      <c r="AW81" s="509">
        <v>11698.380000000001</v>
      </c>
      <c r="AX81" s="506">
        <f>AW81/AW$64</f>
        <v>0.023456855525582326</v>
      </c>
      <c r="AY81" s="512">
        <v>460.02</v>
      </c>
      <c r="AZ81" s="506">
        <f>AY81/AY$64</f>
        <v>0.0006223757348956991</v>
      </c>
      <c r="BA81" s="512">
        <v>0</v>
      </c>
      <c r="BB81" s="506">
        <f>BA81/BA$64</f>
        <v>0</v>
      </c>
      <c r="BC81" s="512">
        <f t="shared" si="55"/>
        <v>12158.400000000001</v>
      </c>
      <c r="BD81" s="515">
        <f t="shared" si="56"/>
        <v>0.00967313870485628</v>
      </c>
      <c r="BE81" s="338"/>
      <c r="BF81" s="338"/>
      <c r="BG81" s="66"/>
    </row>
    <row r="82" spans="1:59" ht="11.25" customHeight="1">
      <c r="A82" s="422">
        <v>31000</v>
      </c>
      <c r="B82" s="423" t="s">
        <v>97</v>
      </c>
      <c r="C82" s="346">
        <v>20240.926000000003</v>
      </c>
      <c r="D82" s="454">
        <f t="shared" si="44"/>
        <v>0.013279570564738625</v>
      </c>
      <c r="E82" s="437"/>
      <c r="F82" s="448">
        <f t="shared" si="38"/>
        <v>0</v>
      </c>
      <c r="G82" s="437">
        <v>71408.79999999999</v>
      </c>
      <c r="H82" s="448">
        <f t="shared" si="45"/>
        <v>0.015731669474427282</v>
      </c>
      <c r="I82" s="346">
        <v>197885.11</v>
      </c>
      <c r="J82" s="451">
        <f t="shared" si="46"/>
        <v>0.04383578202103352</v>
      </c>
      <c r="K82" s="29"/>
      <c r="L82" s="474">
        <v>76.099</v>
      </c>
      <c r="M82" s="472">
        <v>134.366</v>
      </c>
      <c r="N82" s="473">
        <f t="shared" si="47"/>
        <v>391.79650000000004</v>
      </c>
      <c r="O82" s="448">
        <f t="shared" si="39"/>
        <v>0.03880594294851436</v>
      </c>
      <c r="P82" s="509"/>
      <c r="Q82" s="506"/>
      <c r="R82" s="512"/>
      <c r="S82" s="506"/>
      <c r="T82" s="512"/>
      <c r="U82" s="506"/>
      <c r="V82" s="517"/>
      <c r="W82" s="515"/>
      <c r="Y82" s="525">
        <v>1992</v>
      </c>
      <c r="Z82" s="506">
        <f t="shared" si="40"/>
        <v>0.14389944376219027</v>
      </c>
      <c r="AA82" s="512">
        <v>1084</v>
      </c>
      <c r="AB82" s="506">
        <f t="shared" si="41"/>
        <v>0.1130461987694233</v>
      </c>
      <c r="AC82" s="512">
        <v>92</v>
      </c>
      <c r="AD82" s="506">
        <f t="shared" si="48"/>
        <v>0.031345826235093695</v>
      </c>
      <c r="AE82" s="512">
        <f t="shared" si="49"/>
        <v>3168</v>
      </c>
      <c r="AF82" s="32">
        <f t="shared" si="42"/>
        <v>0.12015018773466833</v>
      </c>
      <c r="AG82" s="509"/>
      <c r="AH82" s="506">
        <f t="shared" si="43"/>
        <v>0</v>
      </c>
      <c r="AI82" s="512">
        <v>0</v>
      </c>
      <c r="AJ82" s="506">
        <f t="shared" si="57"/>
        <v>0</v>
      </c>
      <c r="AK82" s="512">
        <v>16</v>
      </c>
      <c r="AL82" s="506">
        <f t="shared" si="58"/>
        <v>0.08648648648648649</v>
      </c>
      <c r="AM82" s="512">
        <f t="shared" si="50"/>
        <v>16</v>
      </c>
      <c r="AN82" s="438">
        <f t="shared" si="51"/>
        <v>0.004675628287551139</v>
      </c>
      <c r="AO82" s="509">
        <v>2416.7999999999997</v>
      </c>
      <c r="AP82" s="506">
        <f t="shared" si="52"/>
        <v>0.007337880746685839</v>
      </c>
      <c r="AQ82" s="512">
        <v>66881.51999999999</v>
      </c>
      <c r="AR82" s="506">
        <f t="shared" si="52"/>
        <v>0.08413005163817408</v>
      </c>
      <c r="AS82" s="512">
        <v>1885.56</v>
      </c>
      <c r="AT82" s="506">
        <f>AS82/AS$64</f>
        <v>0.027444913966462238</v>
      </c>
      <c r="AU82" s="512">
        <f t="shared" si="53"/>
        <v>71183.87999999999</v>
      </c>
      <c r="AV82" s="438">
        <f t="shared" si="54"/>
        <v>0.05966593257597435</v>
      </c>
      <c r="AW82" s="509">
        <v>23791.8</v>
      </c>
      <c r="AX82" s="506">
        <f>AW82/AW$64</f>
        <v>0.04770582040364132</v>
      </c>
      <c r="AY82" s="512">
        <v>39787.14</v>
      </c>
      <c r="AZ82" s="506">
        <f>AY82/AY$64</f>
        <v>0.05382929111103445</v>
      </c>
      <c r="BA82" s="512">
        <v>209.76</v>
      </c>
      <c r="BB82" s="506">
        <f>BA82/BA$64</f>
        <v>0.010999787094128516</v>
      </c>
      <c r="BC82" s="512">
        <f t="shared" si="55"/>
        <v>63788.700000000004</v>
      </c>
      <c r="BD82" s="515">
        <f t="shared" si="56"/>
        <v>0.05074984725806568</v>
      </c>
      <c r="BE82" s="338"/>
      <c r="BF82" s="338"/>
      <c r="BG82" s="66"/>
    </row>
    <row r="83" spans="1:59" ht="11.25" customHeight="1">
      <c r="A83" s="422">
        <v>41000</v>
      </c>
      <c r="B83" s="423" t="s">
        <v>98</v>
      </c>
      <c r="C83" s="346">
        <v>28675.96399999999</v>
      </c>
      <c r="D83" s="454">
        <f t="shared" si="44"/>
        <v>0.01881359022062055</v>
      </c>
      <c r="E83" s="437"/>
      <c r="F83" s="448">
        <f t="shared" si="38"/>
        <v>0</v>
      </c>
      <c r="G83" s="437">
        <v>103221</v>
      </c>
      <c r="H83" s="448">
        <f t="shared" si="45"/>
        <v>0.022740035609334686</v>
      </c>
      <c r="I83" s="346">
        <v>117598.16</v>
      </c>
      <c r="J83" s="451">
        <f t="shared" si="46"/>
        <v>0.02605050631568299</v>
      </c>
      <c r="K83" s="29"/>
      <c r="L83" s="474">
        <v>59.439</v>
      </c>
      <c r="M83" s="472">
        <v>105.327</v>
      </c>
      <c r="N83" s="473">
        <f t="shared" si="47"/>
        <v>306.58799999999997</v>
      </c>
      <c r="O83" s="448">
        <f t="shared" si="39"/>
        <v>0.03036636732767934</v>
      </c>
      <c r="P83" s="509"/>
      <c r="Q83" s="506"/>
      <c r="R83" s="512"/>
      <c r="S83" s="506"/>
      <c r="T83" s="512"/>
      <c r="U83" s="506"/>
      <c r="V83" s="517"/>
      <c r="W83" s="515"/>
      <c r="Y83" s="525">
        <v>531</v>
      </c>
      <c r="Z83" s="506">
        <f t="shared" si="40"/>
        <v>0.03835873726793325</v>
      </c>
      <c r="AA83" s="512">
        <v>189</v>
      </c>
      <c r="AB83" s="506">
        <f t="shared" si="41"/>
        <v>0.019710084471790592</v>
      </c>
      <c r="AC83" s="512">
        <v>69</v>
      </c>
      <c r="AD83" s="506">
        <f t="shared" si="48"/>
        <v>0.023509369676320273</v>
      </c>
      <c r="AE83" s="512">
        <f t="shared" si="49"/>
        <v>789</v>
      </c>
      <c r="AF83" s="32">
        <f t="shared" si="42"/>
        <v>0.029923768346797133</v>
      </c>
      <c r="AG83" s="509">
        <v>4</v>
      </c>
      <c r="AH83" s="506">
        <f t="shared" si="43"/>
        <v>0.016260162601626018</v>
      </c>
      <c r="AI83" s="512">
        <v>6</v>
      </c>
      <c r="AJ83" s="506">
        <f t="shared" si="57"/>
        <v>0.0020060180541624875</v>
      </c>
      <c r="AK83" s="512">
        <v>12</v>
      </c>
      <c r="AL83" s="506">
        <f t="shared" si="58"/>
        <v>0.06486486486486487</v>
      </c>
      <c r="AM83" s="512">
        <f t="shared" si="50"/>
        <v>22</v>
      </c>
      <c r="AN83" s="438">
        <f t="shared" si="51"/>
        <v>0.006428988895382817</v>
      </c>
      <c r="AO83" s="509">
        <v>10879</v>
      </c>
      <c r="AP83" s="506">
        <f t="shared" si="52"/>
        <v>0.03303078642965709</v>
      </c>
      <c r="AQ83" s="512">
        <v>55481</v>
      </c>
      <c r="AR83" s="506">
        <f t="shared" si="52"/>
        <v>0.0697893737304047</v>
      </c>
      <c r="AS83" s="512">
        <v>1135</v>
      </c>
      <c r="AT83" s="506">
        <f>AS83/AS$64</f>
        <v>0.016520279042796113</v>
      </c>
      <c r="AU83" s="512">
        <f t="shared" si="53"/>
        <v>67495</v>
      </c>
      <c r="AV83" s="438">
        <f t="shared" si="54"/>
        <v>0.056573933862770466</v>
      </c>
      <c r="AW83" s="509">
        <v>1646</v>
      </c>
      <c r="AX83" s="506">
        <f>AW83/AW$64</f>
        <v>0.0033004556353194636</v>
      </c>
      <c r="AY83" s="512">
        <v>64514</v>
      </c>
      <c r="AZ83" s="506">
        <f>AY83/AY$64</f>
        <v>0.08728304891322362</v>
      </c>
      <c r="BA83" s="512">
        <v>3045</v>
      </c>
      <c r="BB83" s="506">
        <f>BA83/BA$64</f>
        <v>0.15967940361184846</v>
      </c>
      <c r="BC83" s="512">
        <f t="shared" si="55"/>
        <v>69205</v>
      </c>
      <c r="BD83" s="515">
        <f t="shared" si="56"/>
        <v>0.05505901796861255</v>
      </c>
      <c r="BE83" s="338"/>
      <c r="BF83" s="338"/>
      <c r="BG83" s="66"/>
    </row>
    <row r="84" spans="1:59" ht="11.25" customHeight="1">
      <c r="A84" s="422">
        <v>43000</v>
      </c>
      <c r="B84" s="423" t="s">
        <v>99</v>
      </c>
      <c r="C84" s="346">
        <v>28457.112999999998</v>
      </c>
      <c r="D84" s="454">
        <f t="shared" si="44"/>
        <v>0.018670007496309246</v>
      </c>
      <c r="E84" s="437"/>
      <c r="F84" s="448">
        <f t="shared" si="38"/>
        <v>0</v>
      </c>
      <c r="G84" s="437">
        <v>137065.43</v>
      </c>
      <c r="H84" s="448">
        <f t="shared" si="45"/>
        <v>0.03019611085930935</v>
      </c>
      <c r="I84" s="346">
        <v>130241.20000000001</v>
      </c>
      <c r="J84" s="451">
        <f t="shared" si="46"/>
        <v>0.02885120994377915</v>
      </c>
      <c r="K84" s="29"/>
      <c r="L84" s="474">
        <v>58.662</v>
      </c>
      <c r="M84" s="472">
        <v>111.016</v>
      </c>
      <c r="N84" s="473">
        <f t="shared" si="47"/>
        <v>313.179</v>
      </c>
      <c r="O84" s="448">
        <f t="shared" si="39"/>
        <v>0.031019180637582973</v>
      </c>
      <c r="P84" s="509"/>
      <c r="Q84" s="506"/>
      <c r="R84" s="512"/>
      <c r="S84" s="506"/>
      <c r="T84" s="512"/>
      <c r="U84" s="506"/>
      <c r="V84" s="517"/>
      <c r="W84" s="515"/>
      <c r="Y84" s="525">
        <v>329</v>
      </c>
      <c r="Z84" s="506">
        <f t="shared" si="40"/>
        <v>0.023766524597269377</v>
      </c>
      <c r="AA84" s="512">
        <v>93</v>
      </c>
      <c r="AB84" s="506">
        <f t="shared" si="41"/>
        <v>0.009698612994055689</v>
      </c>
      <c r="AC84" s="512">
        <v>34</v>
      </c>
      <c r="AD84" s="506">
        <f t="shared" si="48"/>
        <v>0.011584327086882453</v>
      </c>
      <c r="AE84" s="512">
        <f t="shared" si="49"/>
        <v>456</v>
      </c>
      <c r="AF84" s="32">
        <f t="shared" si="42"/>
        <v>0.017294345204232564</v>
      </c>
      <c r="AG84" s="509">
        <v>7</v>
      </c>
      <c r="AH84" s="506">
        <f t="shared" si="43"/>
        <v>0.028455284552845527</v>
      </c>
      <c r="AI84" s="512">
        <v>1</v>
      </c>
      <c r="AJ84" s="506">
        <f t="shared" si="57"/>
        <v>0.00033433634236041456</v>
      </c>
      <c r="AK84" s="512">
        <v>28</v>
      </c>
      <c r="AL84" s="506">
        <f t="shared" si="58"/>
        <v>0.15135135135135136</v>
      </c>
      <c r="AM84" s="512">
        <f t="shared" si="50"/>
        <v>36</v>
      </c>
      <c r="AN84" s="438">
        <f t="shared" si="51"/>
        <v>0.010520163646990065</v>
      </c>
      <c r="AO84" s="509">
        <v>6056</v>
      </c>
      <c r="AP84" s="506">
        <f t="shared" si="52"/>
        <v>0.018387208623770874</v>
      </c>
      <c r="AQ84" s="512">
        <v>22126</v>
      </c>
      <c r="AR84" s="506">
        <f t="shared" si="52"/>
        <v>0.02783222514300273</v>
      </c>
      <c r="AS84" s="512">
        <v>1973</v>
      </c>
      <c r="AT84" s="506">
        <f>AS84/AS$64</f>
        <v>0.028717630441794477</v>
      </c>
      <c r="AU84" s="512">
        <f t="shared" si="53"/>
        <v>30155</v>
      </c>
      <c r="AV84" s="438">
        <f t="shared" si="54"/>
        <v>0.02527575339850127</v>
      </c>
      <c r="AW84" s="509">
        <v>24308</v>
      </c>
      <c r="AX84" s="506">
        <f>AW84/AW$64</f>
        <v>0.04874087216485147</v>
      </c>
      <c r="AY84" s="512">
        <v>1487</v>
      </c>
      <c r="AZ84" s="506">
        <f>AY84/AY$64</f>
        <v>0.0020118097425979404</v>
      </c>
      <c r="BA84" s="512">
        <v>199</v>
      </c>
      <c r="BB84" s="506">
        <f>BA84/BA$64</f>
        <v>0.01043553409483016</v>
      </c>
      <c r="BC84" s="512">
        <f t="shared" si="55"/>
        <v>25994</v>
      </c>
      <c r="BD84" s="515">
        <f t="shared" si="56"/>
        <v>0.02068064609603518</v>
      </c>
      <c r="BE84" s="338"/>
      <c r="BF84" s="338"/>
      <c r="BG84" s="66"/>
    </row>
    <row r="85" spans="1:59" ht="11.25" customHeight="1">
      <c r="A85" s="422">
        <v>51000</v>
      </c>
      <c r="B85" s="423" t="s">
        <v>100</v>
      </c>
      <c r="C85" s="346">
        <v>4217.281</v>
      </c>
      <c r="D85" s="454">
        <f t="shared" si="44"/>
        <v>0.002766853682031714</v>
      </c>
      <c r="E85" s="437">
        <v>61291</v>
      </c>
      <c r="F85" s="448">
        <f t="shared" si="38"/>
        <v>0.2365963721709457</v>
      </c>
      <c r="G85" s="437">
        <v>28767.600000000002</v>
      </c>
      <c r="H85" s="448">
        <f t="shared" si="45"/>
        <v>0.006337627502108065</v>
      </c>
      <c r="I85" s="346">
        <v>12912.69</v>
      </c>
      <c r="J85" s="451">
        <f t="shared" si="46"/>
        <v>0.00286043686735793</v>
      </c>
      <c r="K85" s="29"/>
      <c r="L85" s="474">
        <v>62.823</v>
      </c>
      <c r="M85" s="472">
        <v>59.542</v>
      </c>
      <c r="N85" s="473">
        <f t="shared" si="47"/>
        <v>246.3705</v>
      </c>
      <c r="O85" s="448">
        <f t="shared" si="39"/>
        <v>0.024402054554333582</v>
      </c>
      <c r="P85" s="509"/>
      <c r="Q85" s="506"/>
      <c r="R85" s="512"/>
      <c r="S85" s="506"/>
      <c r="T85" s="512"/>
      <c r="U85" s="506"/>
      <c r="V85" s="517"/>
      <c r="W85" s="515"/>
      <c r="Y85" s="525">
        <v>68</v>
      </c>
      <c r="Z85" s="506">
        <f t="shared" si="40"/>
        <v>0.004912230007946255</v>
      </c>
      <c r="AA85" s="512">
        <v>84</v>
      </c>
      <c r="AB85" s="506">
        <f t="shared" si="41"/>
        <v>0.008760037543018042</v>
      </c>
      <c r="AC85" s="512">
        <v>24</v>
      </c>
      <c r="AD85" s="506">
        <f t="shared" si="48"/>
        <v>0.008177172061328791</v>
      </c>
      <c r="AE85" s="512">
        <f t="shared" si="49"/>
        <v>176</v>
      </c>
      <c r="AF85" s="32">
        <f t="shared" si="42"/>
        <v>0.006675010429703796</v>
      </c>
      <c r="AG85" s="509">
        <v>10</v>
      </c>
      <c r="AH85" s="506">
        <f t="shared" si="43"/>
        <v>0.04065040650406504</v>
      </c>
      <c r="AI85" s="512">
        <v>20</v>
      </c>
      <c r="AJ85" s="506">
        <f t="shared" si="57"/>
        <v>0.006686726847208292</v>
      </c>
      <c r="AK85" s="512"/>
      <c r="AL85" s="506">
        <f t="shared" si="58"/>
        <v>0</v>
      </c>
      <c r="AM85" s="512">
        <f t="shared" si="50"/>
        <v>30</v>
      </c>
      <c r="AN85" s="438">
        <f t="shared" si="51"/>
        <v>0.008766803039158387</v>
      </c>
      <c r="AO85" s="509">
        <v>6274.02</v>
      </c>
      <c r="AP85" s="506">
        <f t="shared" si="52"/>
        <v>0.019049160279014356</v>
      </c>
      <c r="AQ85" s="512">
        <v>9756.3</v>
      </c>
      <c r="AR85" s="506">
        <f t="shared" si="52"/>
        <v>0.01227241879068415</v>
      </c>
      <c r="AS85" s="512">
        <v>581.4</v>
      </c>
      <c r="AT85" s="506">
        <f>AS85/AS$64</f>
        <v>0.008462458357252563</v>
      </c>
      <c r="AU85" s="512">
        <f t="shared" si="53"/>
        <v>16611.72</v>
      </c>
      <c r="AV85" s="438">
        <f t="shared" si="54"/>
        <v>0.013923851376055433</v>
      </c>
      <c r="AW85" s="509">
        <v>10552.92</v>
      </c>
      <c r="AX85" s="506">
        <f>AW85/AW$64</f>
        <v>0.021160051204784616</v>
      </c>
      <c r="AY85" s="512">
        <v>14911.380000000001</v>
      </c>
      <c r="AZ85" s="506">
        <f>AY85/AY$64</f>
        <v>0.02017408174820449</v>
      </c>
      <c r="BA85" s="512">
        <v>0</v>
      </c>
      <c r="BB85" s="506">
        <f>BA85/BA$64</f>
        <v>0</v>
      </c>
      <c r="BC85" s="512">
        <f t="shared" si="55"/>
        <v>25464.300000000003</v>
      </c>
      <c r="BD85" s="515">
        <f t="shared" si="56"/>
        <v>0.02025922045022962</v>
      </c>
      <c r="BE85" s="338"/>
      <c r="BF85" s="338"/>
      <c r="BG85" s="66"/>
    </row>
    <row r="86" spans="1:59" ht="11.25" customHeight="1">
      <c r="A86" s="422">
        <v>52000</v>
      </c>
      <c r="B86" s="423" t="s">
        <v>101</v>
      </c>
      <c r="C86" s="346">
        <v>253.396</v>
      </c>
      <c r="D86" s="454">
        <f t="shared" si="44"/>
        <v>0.00016624684378681626</v>
      </c>
      <c r="E86" s="437">
        <v>28378</v>
      </c>
      <c r="F86" s="448">
        <f t="shared" si="38"/>
        <v>0.109545150992268</v>
      </c>
      <c r="G86" s="437">
        <v>5683</v>
      </c>
      <c r="H86" s="448">
        <f t="shared" si="45"/>
        <v>0.0012519896374560315</v>
      </c>
      <c r="I86" s="346">
        <v>2375.04</v>
      </c>
      <c r="J86" s="451">
        <f t="shared" si="46"/>
        <v>0.0005261221308224528</v>
      </c>
      <c r="K86" s="29"/>
      <c r="L86" s="474">
        <v>13.423</v>
      </c>
      <c r="M86" s="472">
        <v>6.584</v>
      </c>
      <c r="N86" s="473">
        <f t="shared" si="47"/>
        <v>43.433499999999995</v>
      </c>
      <c r="O86" s="448">
        <f t="shared" si="39"/>
        <v>0.0043019218473220105</v>
      </c>
      <c r="P86" s="509"/>
      <c r="Q86" s="506"/>
      <c r="R86" s="512"/>
      <c r="S86" s="506"/>
      <c r="T86" s="512"/>
      <c r="U86" s="506"/>
      <c r="V86" s="517"/>
      <c r="W86" s="515"/>
      <c r="Y86" s="525"/>
      <c r="Z86" s="506">
        <f t="shared" si="40"/>
        <v>0</v>
      </c>
      <c r="AA86" s="512">
        <v>20</v>
      </c>
      <c r="AB86" s="506">
        <f t="shared" si="41"/>
        <v>0.002085723224528105</v>
      </c>
      <c r="AC86" s="512">
        <v>4</v>
      </c>
      <c r="AD86" s="506">
        <f t="shared" si="48"/>
        <v>0.001362862010221465</v>
      </c>
      <c r="AE86" s="512">
        <f t="shared" si="49"/>
        <v>24</v>
      </c>
      <c r="AF86" s="32">
        <f t="shared" si="42"/>
        <v>0.0009102286949596086</v>
      </c>
      <c r="AG86" s="509"/>
      <c r="AH86" s="506">
        <f t="shared" si="43"/>
        <v>0</v>
      </c>
      <c r="AI86" s="512">
        <v>0</v>
      </c>
      <c r="AJ86" s="506">
        <f t="shared" si="57"/>
        <v>0</v>
      </c>
      <c r="AK86" s="512"/>
      <c r="AL86" s="506">
        <f t="shared" si="58"/>
        <v>0</v>
      </c>
      <c r="AM86" s="512">
        <f t="shared" si="50"/>
        <v>0</v>
      </c>
      <c r="AN86" s="438">
        <f t="shared" si="51"/>
        <v>0</v>
      </c>
      <c r="AO86" s="509">
        <v>0</v>
      </c>
      <c r="AP86" s="506">
        <f t="shared" si="52"/>
        <v>0</v>
      </c>
      <c r="AQ86" s="512">
        <v>3947</v>
      </c>
      <c r="AR86" s="506">
        <f t="shared" si="52"/>
        <v>0.004964918767035694</v>
      </c>
      <c r="AS86" s="512">
        <v>0</v>
      </c>
      <c r="AT86" s="506">
        <f>AS86/AS$64</f>
        <v>0</v>
      </c>
      <c r="AU86" s="512">
        <f t="shared" si="53"/>
        <v>3947</v>
      </c>
      <c r="AV86" s="438">
        <f t="shared" si="54"/>
        <v>0.0033083534625728576</v>
      </c>
      <c r="AW86" s="509">
        <v>0</v>
      </c>
      <c r="AX86" s="506">
        <f>AW86/AW$64</f>
        <v>0</v>
      </c>
      <c r="AY86" s="512">
        <v>4783</v>
      </c>
      <c r="AZ86" s="506">
        <f>AY86/AY$64</f>
        <v>0.006471073301174142</v>
      </c>
      <c r="BA86" s="512">
        <v>0</v>
      </c>
      <c r="BB86" s="506">
        <f>BA86/BA$64</f>
        <v>0</v>
      </c>
      <c r="BC86" s="512">
        <f t="shared" si="55"/>
        <v>4783</v>
      </c>
      <c r="BD86" s="515">
        <f t="shared" si="56"/>
        <v>0.0038053216233490906</v>
      </c>
      <c r="BE86" s="338"/>
      <c r="BF86" s="338"/>
      <c r="BG86" s="66"/>
    </row>
    <row r="87" spans="1:59" ht="11.25" customHeight="1">
      <c r="A87" s="422">
        <v>53000</v>
      </c>
      <c r="B87" s="423" t="s">
        <v>102</v>
      </c>
      <c r="C87" s="346">
        <v>996.2330000000001</v>
      </c>
      <c r="D87" s="454">
        <f t="shared" si="44"/>
        <v>0.0006536038135024679</v>
      </c>
      <c r="E87" s="437">
        <v>31448</v>
      </c>
      <c r="F87" s="448">
        <f t="shared" si="38"/>
        <v>0.12139600776675043</v>
      </c>
      <c r="G87" s="437">
        <v>1362</v>
      </c>
      <c r="H87" s="448">
        <f t="shared" si="45"/>
        <v>0.00030005452863190475</v>
      </c>
      <c r="I87" s="346">
        <v>10083.9</v>
      </c>
      <c r="J87" s="451">
        <f t="shared" si="46"/>
        <v>0.002233799411799604</v>
      </c>
      <c r="K87" s="29"/>
      <c r="L87" s="474">
        <v>6</v>
      </c>
      <c r="M87" s="472">
        <v>10.667</v>
      </c>
      <c r="N87" s="473">
        <f t="shared" si="47"/>
        <v>31.0005</v>
      </c>
      <c r="O87" s="448">
        <f t="shared" si="39"/>
        <v>0.0030704808092349455</v>
      </c>
      <c r="P87" s="509"/>
      <c r="Q87" s="506"/>
      <c r="R87" s="512"/>
      <c r="S87" s="506"/>
      <c r="T87" s="512"/>
      <c r="U87" s="506"/>
      <c r="V87" s="517"/>
      <c r="W87" s="515"/>
      <c r="Y87" s="525">
        <v>13</v>
      </c>
      <c r="Z87" s="506">
        <f t="shared" si="40"/>
        <v>0.0009391027956367839</v>
      </c>
      <c r="AA87" s="512">
        <v>31</v>
      </c>
      <c r="AB87" s="506">
        <f t="shared" si="41"/>
        <v>0.003232870998018563</v>
      </c>
      <c r="AC87" s="512">
        <v>1</v>
      </c>
      <c r="AD87" s="506">
        <f t="shared" si="48"/>
        <v>0.00034071550255536625</v>
      </c>
      <c r="AE87" s="512">
        <f t="shared" si="49"/>
        <v>45</v>
      </c>
      <c r="AF87" s="32">
        <f t="shared" si="42"/>
        <v>0.001706678803049266</v>
      </c>
      <c r="AG87" s="509"/>
      <c r="AH87" s="506">
        <f t="shared" si="43"/>
        <v>0</v>
      </c>
      <c r="AI87" s="512">
        <v>7</v>
      </c>
      <c r="AJ87" s="506">
        <f t="shared" si="57"/>
        <v>0.002340354396522902</v>
      </c>
      <c r="AK87" s="512"/>
      <c r="AL87" s="506">
        <f t="shared" si="58"/>
        <v>0</v>
      </c>
      <c r="AM87" s="512">
        <f t="shared" si="50"/>
        <v>7</v>
      </c>
      <c r="AN87" s="438">
        <f t="shared" si="51"/>
        <v>0.0020455873758036236</v>
      </c>
      <c r="AO87" s="509">
        <v>0</v>
      </c>
      <c r="AP87" s="506">
        <f t="shared" si="52"/>
        <v>0</v>
      </c>
      <c r="AQ87" s="512">
        <v>9314</v>
      </c>
      <c r="AR87" s="506">
        <f t="shared" si="52"/>
        <v>0.011716051025125528</v>
      </c>
      <c r="AS87" s="512">
        <v>0</v>
      </c>
      <c r="AT87" s="506">
        <f>AS87/AS$64</f>
        <v>0</v>
      </c>
      <c r="AU87" s="512">
        <f t="shared" si="53"/>
        <v>9314</v>
      </c>
      <c r="AV87" s="438">
        <f t="shared" si="54"/>
        <v>0.007806943032785304</v>
      </c>
      <c r="AW87" s="509">
        <v>0</v>
      </c>
      <c r="AX87" s="506">
        <f>AW87/AW$64</f>
        <v>0</v>
      </c>
      <c r="AY87" s="512">
        <v>9625</v>
      </c>
      <c r="AZ87" s="506">
        <f>AY87/AY$64</f>
        <v>0.013021969584737846</v>
      </c>
      <c r="BA87" s="512">
        <v>0</v>
      </c>
      <c r="BB87" s="506">
        <f>BA87/BA$64</f>
        <v>0</v>
      </c>
      <c r="BC87" s="512">
        <f t="shared" si="55"/>
        <v>9625</v>
      </c>
      <c r="BD87" s="515">
        <f t="shared" si="56"/>
        <v>0.007657583237452435</v>
      </c>
      <c r="BE87" s="338"/>
      <c r="BF87" s="338"/>
      <c r="BG87" s="66"/>
    </row>
    <row r="88" spans="1:59" ht="11.25" customHeight="1">
      <c r="A88" s="422">
        <v>54000</v>
      </c>
      <c r="B88" s="423" t="s">
        <v>103</v>
      </c>
      <c r="C88" s="346">
        <v>1297.133</v>
      </c>
      <c r="D88" s="454">
        <f t="shared" si="44"/>
        <v>0.0008510168559161327</v>
      </c>
      <c r="E88" s="437">
        <v>48314</v>
      </c>
      <c r="F88" s="448">
        <f t="shared" si="38"/>
        <v>0.1865023759616758</v>
      </c>
      <c r="G88" s="437">
        <v>2750.25</v>
      </c>
      <c r="H88" s="448">
        <f t="shared" si="45"/>
        <v>0.0006058920465270897</v>
      </c>
      <c r="I88" s="346">
        <v>8198.01</v>
      </c>
      <c r="J88" s="451">
        <f t="shared" si="46"/>
        <v>0.0018160344624527486</v>
      </c>
      <c r="K88" s="29"/>
      <c r="L88" s="474">
        <v>21.978</v>
      </c>
      <c r="M88" s="472">
        <v>36.357</v>
      </c>
      <c r="N88" s="473">
        <f t="shared" si="47"/>
        <v>109.4805</v>
      </c>
      <c r="O88" s="448">
        <f t="shared" si="39"/>
        <v>0.010843624271719698</v>
      </c>
      <c r="P88" s="509"/>
      <c r="Q88" s="506"/>
      <c r="R88" s="512"/>
      <c r="S88" s="506"/>
      <c r="T88" s="512"/>
      <c r="U88" s="506"/>
      <c r="V88" s="517"/>
      <c r="W88" s="515"/>
      <c r="Y88" s="525">
        <v>54</v>
      </c>
      <c r="Z88" s="506">
        <f t="shared" si="40"/>
        <v>0.0039008885357220257</v>
      </c>
      <c r="AA88" s="512">
        <v>45</v>
      </c>
      <c r="AB88" s="506">
        <f t="shared" si="41"/>
        <v>0.004692877255188237</v>
      </c>
      <c r="AC88" s="512">
        <v>15</v>
      </c>
      <c r="AD88" s="506">
        <f t="shared" si="48"/>
        <v>0.005110732538330494</v>
      </c>
      <c r="AE88" s="512">
        <f t="shared" si="49"/>
        <v>114</v>
      </c>
      <c r="AF88" s="32">
        <f t="shared" si="42"/>
        <v>0.004323586301058141</v>
      </c>
      <c r="AG88" s="509">
        <v>4</v>
      </c>
      <c r="AH88" s="506">
        <f t="shared" si="43"/>
        <v>0.016260162601626018</v>
      </c>
      <c r="AI88" s="512">
        <v>1</v>
      </c>
      <c r="AJ88" s="506">
        <f t="shared" si="57"/>
        <v>0.00033433634236041456</v>
      </c>
      <c r="AK88" s="512"/>
      <c r="AL88" s="506">
        <f t="shared" si="58"/>
        <v>0</v>
      </c>
      <c r="AM88" s="512">
        <f t="shared" si="50"/>
        <v>5</v>
      </c>
      <c r="AN88" s="438">
        <f t="shared" si="51"/>
        <v>0.0014611338398597311</v>
      </c>
      <c r="AO88" s="509">
        <v>3352.7400000000002</v>
      </c>
      <c r="AP88" s="506">
        <f t="shared" si="52"/>
        <v>0.010179578903775027</v>
      </c>
      <c r="AQ88" s="512">
        <v>7314.42</v>
      </c>
      <c r="AR88" s="506">
        <f t="shared" si="52"/>
        <v>0.00920078569241987</v>
      </c>
      <c r="AS88" s="512">
        <v>1269.9</v>
      </c>
      <c r="AT88" s="506">
        <f>AS88/AS$64</f>
        <v>0.018483790622420077</v>
      </c>
      <c r="AU88" s="512">
        <f t="shared" si="53"/>
        <v>11937.06</v>
      </c>
      <c r="AV88" s="438">
        <f t="shared" si="54"/>
        <v>0.010005577345817064</v>
      </c>
      <c r="AW88" s="509">
        <v>2198.1</v>
      </c>
      <c r="AX88" s="506">
        <f>AW88/AW$64</f>
        <v>0.004407491817737371</v>
      </c>
      <c r="AY88" s="512">
        <v>1597.32</v>
      </c>
      <c r="AZ88" s="506">
        <f>AY88/AY$64</f>
        <v>0.0021610651903473718</v>
      </c>
      <c r="BA88" s="512">
        <v>0</v>
      </c>
      <c r="BB88" s="506">
        <f>BA88/BA$64</f>
        <v>0</v>
      </c>
      <c r="BC88" s="512">
        <f t="shared" si="55"/>
        <v>3795.42</v>
      </c>
      <c r="BD88" s="515">
        <f t="shared" si="56"/>
        <v>0.003019609825567971</v>
      </c>
      <c r="BE88" s="338"/>
      <c r="BF88" s="338"/>
      <c r="BG88" s="66"/>
    </row>
    <row r="89" spans="1:58" ht="11.25" customHeight="1">
      <c r="A89" s="422">
        <v>55000</v>
      </c>
      <c r="B89" s="423" t="s">
        <v>104</v>
      </c>
      <c r="C89" s="346"/>
      <c r="D89" s="454">
        <f t="shared" si="44"/>
        <v>0</v>
      </c>
      <c r="E89" s="437"/>
      <c r="F89" s="448">
        <f t="shared" si="38"/>
        <v>0</v>
      </c>
      <c r="G89" s="437">
        <v>431.25</v>
      </c>
      <c r="H89" s="448">
        <f t="shared" si="45"/>
        <v>9.500625218245884E-05</v>
      </c>
      <c r="I89" s="346">
        <v>12357.83</v>
      </c>
      <c r="J89" s="451">
        <f t="shared" si="46"/>
        <v>0.0027375235162109403</v>
      </c>
      <c r="K89" s="29"/>
      <c r="L89" s="474">
        <v>5.114</v>
      </c>
      <c r="M89" s="472">
        <v>10.533</v>
      </c>
      <c r="N89" s="473">
        <f t="shared" si="47"/>
        <v>28.5845</v>
      </c>
      <c r="O89" s="448">
        <f t="shared" si="39"/>
        <v>0.002831185261256312</v>
      </c>
      <c r="P89" s="509"/>
      <c r="Q89" s="506"/>
      <c r="R89" s="512"/>
      <c r="S89" s="506"/>
      <c r="T89" s="512"/>
      <c r="U89" s="506"/>
      <c r="V89" s="517"/>
      <c r="W89" s="515"/>
      <c r="Y89" s="525">
        <v>35</v>
      </c>
      <c r="Z89" s="506">
        <f t="shared" si="40"/>
        <v>0.002528353680560572</v>
      </c>
      <c r="AA89" s="512">
        <v>0</v>
      </c>
      <c r="AB89" s="506">
        <f t="shared" si="41"/>
        <v>0</v>
      </c>
      <c r="AC89" s="512"/>
      <c r="AD89" s="506">
        <f t="shared" si="48"/>
        <v>0</v>
      </c>
      <c r="AE89" s="512">
        <f t="shared" si="49"/>
        <v>35</v>
      </c>
      <c r="AF89" s="32">
        <f t="shared" si="42"/>
        <v>0.0013274168468160959</v>
      </c>
      <c r="AG89" s="509"/>
      <c r="AH89" s="506">
        <f t="shared" si="43"/>
        <v>0</v>
      </c>
      <c r="AI89" s="512">
        <v>0</v>
      </c>
      <c r="AJ89" s="506">
        <f t="shared" si="57"/>
        <v>0</v>
      </c>
      <c r="AK89" s="512"/>
      <c r="AL89" s="506">
        <f t="shared" si="58"/>
        <v>0</v>
      </c>
      <c r="AM89" s="512">
        <f t="shared" si="50"/>
        <v>0</v>
      </c>
      <c r="AN89" s="438">
        <f t="shared" si="51"/>
        <v>0</v>
      </c>
      <c r="AO89" s="509">
        <v>6502</v>
      </c>
      <c r="AP89" s="506">
        <f t="shared" si="52"/>
        <v>0.01974135245570644</v>
      </c>
      <c r="AQ89" s="512">
        <v>0</v>
      </c>
      <c r="AR89" s="506">
        <f t="shared" si="52"/>
        <v>0</v>
      </c>
      <c r="AS89" s="512">
        <v>0</v>
      </c>
      <c r="AT89" s="506">
        <f>AS89/AS$64</f>
        <v>0</v>
      </c>
      <c r="AU89" s="512">
        <f t="shared" si="53"/>
        <v>6502</v>
      </c>
      <c r="AV89" s="438">
        <f t="shared" si="54"/>
        <v>0.005449940261882118</v>
      </c>
      <c r="AW89" s="509">
        <v>1771</v>
      </c>
      <c r="AX89" s="506">
        <f>AW89/AW$64</f>
        <v>0.0035510977704439673</v>
      </c>
      <c r="AY89" s="512">
        <v>0</v>
      </c>
      <c r="AZ89" s="506">
        <f>AY89/AY$64</f>
        <v>0</v>
      </c>
      <c r="BA89" s="512">
        <v>0</v>
      </c>
      <c r="BB89" s="506">
        <f>BA89/BA$64</f>
        <v>0</v>
      </c>
      <c r="BC89" s="512">
        <f t="shared" si="55"/>
        <v>1771</v>
      </c>
      <c r="BD89" s="515">
        <f t="shared" si="56"/>
        <v>0.001408995315691248</v>
      </c>
      <c r="BE89" s="338"/>
      <c r="BF89" s="338"/>
    </row>
    <row r="90" spans="1:58" ht="11.25" customHeight="1">
      <c r="A90" s="468">
        <v>56000</v>
      </c>
      <c r="B90" s="469" t="s">
        <v>105</v>
      </c>
      <c r="C90" s="441">
        <v>64.466</v>
      </c>
      <c r="D90" s="455">
        <f t="shared" si="44"/>
        <v>4.2294546999798326E-05</v>
      </c>
      <c r="E90" s="439"/>
      <c r="F90" s="449">
        <f t="shared" si="38"/>
        <v>0</v>
      </c>
      <c r="G90" s="439">
        <v>0</v>
      </c>
      <c r="H90" s="449">
        <f t="shared" si="45"/>
        <v>0</v>
      </c>
      <c r="I90" s="441">
        <v>5832.66</v>
      </c>
      <c r="J90" s="452">
        <f t="shared" si="46"/>
        <v>0.0012920588737717626</v>
      </c>
      <c r="K90" s="29"/>
      <c r="L90" s="475">
        <v>2.229</v>
      </c>
      <c r="M90" s="476">
        <v>5.273</v>
      </c>
      <c r="N90" s="477">
        <f t="shared" si="47"/>
        <v>13.482</v>
      </c>
      <c r="O90" s="449">
        <f t="shared" si="39"/>
        <v>0.00133534047096355</v>
      </c>
      <c r="P90" s="510"/>
      <c r="Q90" s="507"/>
      <c r="R90" s="513"/>
      <c r="S90" s="507"/>
      <c r="T90" s="513"/>
      <c r="U90" s="507"/>
      <c r="V90" s="518"/>
      <c r="W90" s="516"/>
      <c r="Y90" s="526">
        <v>20</v>
      </c>
      <c r="Z90" s="507">
        <f t="shared" si="40"/>
        <v>0.0014447735317488983</v>
      </c>
      <c r="AA90" s="513">
        <v>0</v>
      </c>
      <c r="AB90" s="507">
        <f t="shared" si="41"/>
        <v>0</v>
      </c>
      <c r="AC90" s="513"/>
      <c r="AD90" s="507">
        <f t="shared" si="48"/>
        <v>0</v>
      </c>
      <c r="AE90" s="513">
        <f t="shared" si="49"/>
        <v>20</v>
      </c>
      <c r="AF90" s="440">
        <f t="shared" si="42"/>
        <v>0.0007585239124663405</v>
      </c>
      <c r="AG90" s="510"/>
      <c r="AH90" s="507">
        <f t="shared" si="43"/>
        <v>0</v>
      </c>
      <c r="AI90" s="513">
        <v>0</v>
      </c>
      <c r="AJ90" s="507">
        <f t="shared" si="57"/>
        <v>0</v>
      </c>
      <c r="AK90" s="513"/>
      <c r="AL90" s="507">
        <f t="shared" si="58"/>
        <v>0</v>
      </c>
      <c r="AM90" s="513">
        <f t="shared" si="50"/>
        <v>0</v>
      </c>
      <c r="AN90" s="442">
        <f t="shared" si="51"/>
        <v>0</v>
      </c>
      <c r="AO90" s="510">
        <v>0</v>
      </c>
      <c r="AP90" s="507">
        <f t="shared" si="52"/>
        <v>0</v>
      </c>
      <c r="AQ90" s="513">
        <v>0</v>
      </c>
      <c r="AR90" s="507">
        <f t="shared" si="52"/>
        <v>0</v>
      </c>
      <c r="AS90" s="513">
        <v>0</v>
      </c>
      <c r="AT90" s="507">
        <f>AS90/AS$64</f>
        <v>0</v>
      </c>
      <c r="AU90" s="513">
        <f t="shared" si="53"/>
        <v>0</v>
      </c>
      <c r="AV90" s="442">
        <f t="shared" si="54"/>
        <v>0</v>
      </c>
      <c r="AW90" s="510">
        <v>0</v>
      </c>
      <c r="AX90" s="507">
        <f>AW90/AW$64</f>
        <v>0</v>
      </c>
      <c r="AY90" s="513">
        <v>0</v>
      </c>
      <c r="AZ90" s="507">
        <f>AY90/AY$64</f>
        <v>0</v>
      </c>
      <c r="BA90" s="513">
        <v>0</v>
      </c>
      <c r="BB90" s="507">
        <f>BA90/BA$64</f>
        <v>0</v>
      </c>
      <c r="BC90" s="513">
        <f t="shared" si="55"/>
        <v>0</v>
      </c>
      <c r="BD90" s="516">
        <f t="shared" si="56"/>
        <v>0</v>
      </c>
      <c r="BE90" s="338"/>
      <c r="BF90" s="338"/>
    </row>
    <row r="91" spans="3:59" ht="9" customHeight="1">
      <c r="C91" s="347"/>
      <c r="D91" s="344"/>
      <c r="E91" s="66"/>
      <c r="G91" s="348"/>
      <c r="H91" s="348"/>
      <c r="I91" s="29"/>
      <c r="J91" s="29"/>
      <c r="K91" s="29"/>
      <c r="L91" s="348"/>
      <c r="M91" s="348"/>
      <c r="N91" s="348"/>
      <c r="O91" s="349"/>
      <c r="U91" s="348"/>
      <c r="V91" s="338"/>
      <c r="W91" s="338"/>
      <c r="Z91" s="349"/>
      <c r="AA91" s="349"/>
      <c r="AB91" s="349"/>
      <c r="AD91" s="349"/>
      <c r="AE91" s="349"/>
      <c r="AF91" s="338"/>
      <c r="AH91" s="349"/>
      <c r="AI91" s="349"/>
      <c r="AJ91" s="349"/>
      <c r="AL91" s="349"/>
      <c r="AM91" s="349"/>
      <c r="AN91" s="338"/>
      <c r="AP91" s="349"/>
      <c r="AQ91" s="349"/>
      <c r="AR91" s="349"/>
      <c r="AT91" s="349"/>
      <c r="AU91" s="349"/>
      <c r="AV91" s="338"/>
      <c r="AX91" s="349"/>
      <c r="AY91" s="349"/>
      <c r="AZ91" s="349"/>
      <c r="BB91" s="349"/>
      <c r="BC91" s="349"/>
      <c r="BD91" s="388"/>
      <c r="BE91" s="338"/>
      <c r="BF91" s="338"/>
      <c r="BG91" s="350"/>
    </row>
    <row r="92" spans="1:59" ht="16.5" customHeight="1">
      <c r="A92" s="466" t="s">
        <v>107</v>
      </c>
      <c r="B92" s="467" t="s">
        <v>79</v>
      </c>
      <c r="C92" s="444"/>
      <c r="D92" s="453"/>
      <c r="E92" s="443"/>
      <c r="F92" s="447"/>
      <c r="G92" s="443">
        <f>SUM(G93:G118)</f>
        <v>3513471.1500000004</v>
      </c>
      <c r="H92" s="447">
        <f>SUM(H93:H118)</f>
        <v>0.9999999999999998</v>
      </c>
      <c r="I92" s="444">
        <f>SUM(I93:I118)</f>
        <v>4377706.619999999</v>
      </c>
      <c r="J92" s="450">
        <f>SUM(J93:J118)</f>
        <v>1.0000000000000002</v>
      </c>
      <c r="K92" s="32"/>
      <c r="L92" s="478">
        <f>SUM(L93:L118)</f>
        <v>1977.2999999999997</v>
      </c>
      <c r="M92" s="479">
        <f>SUM(M93:M118)</f>
        <v>3454.7000000000007</v>
      </c>
      <c r="N92" s="480">
        <f>SUM(N93:N118)</f>
        <v>10125.300000000003</v>
      </c>
      <c r="O92" s="481">
        <f>SUM(O93:O118)</f>
        <v>0.9999999999999994</v>
      </c>
      <c r="P92" s="508"/>
      <c r="Q92" s="505"/>
      <c r="R92" s="511"/>
      <c r="S92" s="505"/>
      <c r="T92" s="511"/>
      <c r="U92" s="505"/>
      <c r="V92" s="511"/>
      <c r="W92" s="514"/>
      <c r="Y92" s="524">
        <f aca="true" t="shared" si="59" ref="Y92:AL92">SUM(Y93:Y118)</f>
        <v>12490</v>
      </c>
      <c r="Z92" s="505">
        <f t="shared" si="59"/>
        <v>1</v>
      </c>
      <c r="AA92" s="511">
        <f t="shared" si="59"/>
        <v>9235</v>
      </c>
      <c r="AB92" s="505">
        <f t="shared" si="59"/>
        <v>1.0000000000000002</v>
      </c>
      <c r="AC92" s="511">
        <f t="shared" si="59"/>
        <v>2647</v>
      </c>
      <c r="AD92" s="505">
        <f t="shared" si="59"/>
        <v>1</v>
      </c>
      <c r="AE92" s="511">
        <f>SUM(AE93:AE118)</f>
        <v>24372</v>
      </c>
      <c r="AF92" s="445">
        <f>SUM(AF93:AF118)</f>
        <v>1</v>
      </c>
      <c r="AG92" s="508">
        <f t="shared" si="59"/>
        <v>246</v>
      </c>
      <c r="AH92" s="505">
        <f t="shared" si="59"/>
        <v>0.9999999999999999</v>
      </c>
      <c r="AI92" s="511">
        <f t="shared" si="59"/>
        <v>2482</v>
      </c>
      <c r="AJ92" s="505">
        <f t="shared" si="59"/>
        <v>1.0000000000000002</v>
      </c>
      <c r="AK92" s="511">
        <f t="shared" si="59"/>
        <v>241</v>
      </c>
      <c r="AL92" s="505">
        <f t="shared" si="59"/>
        <v>1</v>
      </c>
      <c r="AM92" s="511">
        <f aca="true" t="shared" si="60" ref="AM92:BD92">SUM(AM93:AM118)</f>
        <v>2969</v>
      </c>
      <c r="AN92" s="446">
        <f t="shared" si="60"/>
        <v>1.0000000000000002</v>
      </c>
      <c r="AO92" s="508">
        <f t="shared" si="60"/>
        <v>308358.26</v>
      </c>
      <c r="AP92" s="505">
        <f t="shared" si="60"/>
        <v>1</v>
      </c>
      <c r="AQ92" s="511">
        <f t="shared" si="60"/>
        <v>711653.7000000001</v>
      </c>
      <c r="AR92" s="505">
        <f t="shared" si="60"/>
        <v>1</v>
      </c>
      <c r="AS92" s="511">
        <f t="shared" si="60"/>
        <v>69422.27999999998</v>
      </c>
      <c r="AT92" s="505">
        <f t="shared" si="60"/>
        <v>1.0000000000000002</v>
      </c>
      <c r="AU92" s="511">
        <f t="shared" si="60"/>
        <v>1089434.2399999998</v>
      </c>
      <c r="AV92" s="446">
        <f t="shared" si="60"/>
        <v>1.0000000000000002</v>
      </c>
      <c r="AW92" s="508">
        <f t="shared" si="60"/>
        <v>474438.82000000007</v>
      </c>
      <c r="AX92" s="505">
        <f t="shared" si="60"/>
        <v>0.9999999999999998</v>
      </c>
      <c r="AY92" s="511">
        <f t="shared" si="60"/>
        <v>727535.8400000001</v>
      </c>
      <c r="AZ92" s="505">
        <f t="shared" si="60"/>
        <v>0.9999999999999998</v>
      </c>
      <c r="BA92" s="511">
        <f t="shared" si="60"/>
        <v>12113.939999999999</v>
      </c>
      <c r="BB92" s="505">
        <f t="shared" si="60"/>
        <v>1.0000000000000002</v>
      </c>
      <c r="BC92" s="511">
        <f t="shared" si="60"/>
        <v>1214088.5999999999</v>
      </c>
      <c r="BD92" s="514">
        <f t="shared" si="60"/>
        <v>1</v>
      </c>
      <c r="BE92" s="338"/>
      <c r="BF92" s="338"/>
      <c r="BG92" s="350"/>
    </row>
    <row r="93" spans="1:59" ht="11.25" customHeight="1">
      <c r="A93" s="435">
        <v>11000</v>
      </c>
      <c r="B93" s="436" t="s">
        <v>80</v>
      </c>
      <c r="C93" s="346"/>
      <c r="D93" s="454"/>
      <c r="E93" s="437"/>
      <c r="F93" s="448"/>
      <c r="G93" s="437">
        <v>905012.5700000001</v>
      </c>
      <c r="H93" s="448">
        <f>G93/G$92</f>
        <v>0.2575836064571072</v>
      </c>
      <c r="I93" s="346">
        <v>1260722.3599999999</v>
      </c>
      <c r="J93" s="451">
        <f aca="true" t="shared" si="61" ref="J93:J118">I93/I$92</f>
        <v>0.2879869460050752</v>
      </c>
      <c r="K93" s="65"/>
      <c r="L93" s="474">
        <v>427.5</v>
      </c>
      <c r="M93" s="472">
        <v>736.8</v>
      </c>
      <c r="N93" s="473">
        <f>L93*2.5+M93*1.5</f>
        <v>2173.95</v>
      </c>
      <c r="O93" s="448">
        <f aca="true" t="shared" si="62" ref="O93:O118">N93/N$92</f>
        <v>0.21470474948890395</v>
      </c>
      <c r="P93" s="509"/>
      <c r="Q93" s="506"/>
      <c r="R93" s="512"/>
      <c r="S93" s="506"/>
      <c r="T93" s="512"/>
      <c r="U93" s="506"/>
      <c r="V93" s="517"/>
      <c r="W93" s="515"/>
      <c r="Y93" s="525">
        <v>1587</v>
      </c>
      <c r="Z93" s="506">
        <f aca="true" t="shared" si="63" ref="Z93:Z118">Y93/Y$92</f>
        <v>0.12706164931945557</v>
      </c>
      <c r="AA93" s="512">
        <v>2586</v>
      </c>
      <c r="AB93" s="506">
        <f aca="true" t="shared" si="64" ref="AB93:AB118">AA93/AA$92</f>
        <v>0.28002165674066054</v>
      </c>
      <c r="AC93" s="512">
        <v>1077</v>
      </c>
      <c r="AD93" s="506">
        <f aca="true" t="shared" si="65" ref="AD93:AD118">AC93/AC$92</f>
        <v>0.40687570834907444</v>
      </c>
      <c r="AE93" s="512">
        <f>Y93+AA93+AC93</f>
        <v>5250</v>
      </c>
      <c r="AF93" s="32">
        <f>AE93/AE$92</f>
        <v>0.21541112752338748</v>
      </c>
      <c r="AG93" s="509">
        <v>71</v>
      </c>
      <c r="AH93" s="506">
        <f aca="true" t="shared" si="66" ref="AH93:AH118">AG93/AG$92</f>
        <v>0.2886178861788618</v>
      </c>
      <c r="AI93" s="512">
        <v>1720</v>
      </c>
      <c r="AJ93" s="506">
        <f>AI93/AI$92</f>
        <v>0.6929895245769541</v>
      </c>
      <c r="AK93" s="512">
        <v>52</v>
      </c>
      <c r="AL93" s="506">
        <f>AK93/AK$92</f>
        <v>0.2157676348547718</v>
      </c>
      <c r="AM93" s="512">
        <f>AG93+AI93+AK93</f>
        <v>1843</v>
      </c>
      <c r="AN93" s="438">
        <f>AM93/AM$92</f>
        <v>0.6207477265072415</v>
      </c>
      <c r="AO93" s="509">
        <v>9669.6</v>
      </c>
      <c r="AP93" s="506">
        <f>AO93/AO$92</f>
        <v>0.03135832975578472</v>
      </c>
      <c r="AQ93" s="512">
        <v>117756.96</v>
      </c>
      <c r="AR93" s="506">
        <f>AQ93/AQ$92</f>
        <v>0.16546946920953265</v>
      </c>
      <c r="AS93" s="512">
        <v>9753.24</v>
      </c>
      <c r="AT93" s="506">
        <f>AS93/AS$92</f>
        <v>0.1404914963899198</v>
      </c>
      <c r="AU93" s="512">
        <f>AO93+AQ93+AS93</f>
        <v>137179.80000000002</v>
      </c>
      <c r="AV93" s="438">
        <f>AU93/AU$92</f>
        <v>0.1259183849407928</v>
      </c>
      <c r="AW93" s="509">
        <v>213228.96</v>
      </c>
      <c r="AX93" s="506">
        <f>AW93/AW$92</f>
        <v>0.44943404926266356</v>
      </c>
      <c r="AY93" s="512">
        <v>155407.2</v>
      </c>
      <c r="AZ93" s="506">
        <f>AY93/AY$92</f>
        <v>0.213607621034862</v>
      </c>
      <c r="BA93" s="512">
        <v>3902.52</v>
      </c>
      <c r="BB93" s="506">
        <f>BA93/BA$92</f>
        <v>0.3221511745971996</v>
      </c>
      <c r="BC93" s="512">
        <f>AW93+AY93+BA93</f>
        <v>372538.68000000005</v>
      </c>
      <c r="BD93" s="515">
        <f>BC93/BC$92</f>
        <v>0.30684637019077526</v>
      </c>
      <c r="BE93" s="338"/>
      <c r="BF93" s="338"/>
      <c r="BG93" s="350"/>
    </row>
    <row r="94" spans="1:59" ht="11.25" customHeight="1">
      <c r="A94" s="422">
        <v>12000</v>
      </c>
      <c r="B94" s="423" t="s">
        <v>81</v>
      </c>
      <c r="C94" s="346"/>
      <c r="D94" s="454"/>
      <c r="E94" s="437"/>
      <c r="F94" s="448"/>
      <c r="G94" s="437">
        <v>113341.5</v>
      </c>
      <c r="H94" s="448">
        <f aca="true" t="shared" si="67" ref="H94:H118">G94/G$92</f>
        <v>0.03225912357356342</v>
      </c>
      <c r="I94" s="346">
        <v>105571.66</v>
      </c>
      <c r="J94" s="451">
        <f t="shared" si="61"/>
        <v>0.024115745792028433</v>
      </c>
      <c r="K94" s="65"/>
      <c r="L94" s="474">
        <v>53.6</v>
      </c>
      <c r="M94" s="472">
        <v>98.1</v>
      </c>
      <c r="N94" s="473">
        <f aca="true" t="shared" si="68" ref="N94:N118">L94*2.5+M94*1.5</f>
        <v>281.15</v>
      </c>
      <c r="O94" s="448">
        <f t="shared" si="62"/>
        <v>0.02776707850631585</v>
      </c>
      <c r="P94" s="509"/>
      <c r="Q94" s="506"/>
      <c r="R94" s="512"/>
      <c r="S94" s="506"/>
      <c r="T94" s="512"/>
      <c r="U94" s="506"/>
      <c r="V94" s="517"/>
      <c r="W94" s="515"/>
      <c r="Y94" s="525">
        <v>84</v>
      </c>
      <c r="Z94" s="506">
        <f t="shared" si="63"/>
        <v>0.006725380304243395</v>
      </c>
      <c r="AA94" s="512">
        <v>19</v>
      </c>
      <c r="AB94" s="506">
        <f t="shared" si="64"/>
        <v>0.002057390362750406</v>
      </c>
      <c r="AC94" s="512">
        <v>59</v>
      </c>
      <c r="AD94" s="506">
        <f t="shared" si="65"/>
        <v>0.022289384208537967</v>
      </c>
      <c r="AE94" s="512">
        <f>Y94+AA94+AC94</f>
        <v>162</v>
      </c>
      <c r="AF94" s="32">
        <f aca="true" t="shared" si="69" ref="AF94:AF118">AE94/AE$92</f>
        <v>0.0066469719350073855</v>
      </c>
      <c r="AG94" s="509"/>
      <c r="AH94" s="506">
        <f t="shared" si="66"/>
        <v>0</v>
      </c>
      <c r="AI94" s="512">
        <v>0</v>
      </c>
      <c r="AJ94" s="506">
        <f aca="true" t="shared" si="70" ref="AJ94:AJ118">AI94/AI$92</f>
        <v>0</v>
      </c>
      <c r="AK94" s="512"/>
      <c r="AL94" s="506">
        <f aca="true" t="shared" si="71" ref="AL94:AL118">AK94/AK$92</f>
        <v>0</v>
      </c>
      <c r="AM94" s="512">
        <f>AG94+AI94+AK94</f>
        <v>0</v>
      </c>
      <c r="AN94" s="438">
        <f aca="true" t="shared" si="72" ref="AN94:AN118">AM94/AM$92</f>
        <v>0</v>
      </c>
      <c r="AO94" s="509">
        <v>9707</v>
      </c>
      <c r="AP94" s="506">
        <f aca="true" t="shared" si="73" ref="AP94:AR118">AO94/AO$92</f>
        <v>0.03147961724780779</v>
      </c>
      <c r="AQ94" s="512">
        <v>13608</v>
      </c>
      <c r="AR94" s="506">
        <f t="shared" si="73"/>
        <v>0.019121659874739638</v>
      </c>
      <c r="AS94" s="512">
        <v>2302</v>
      </c>
      <c r="AT94" s="506">
        <f>AS94/AS$92</f>
        <v>0.033159383414085516</v>
      </c>
      <c r="AU94" s="512">
        <f>AO94+AQ94+AS94</f>
        <v>25617</v>
      </c>
      <c r="AV94" s="438">
        <f aca="true" t="shared" si="74" ref="AV94:AV118">AU94/AU$92</f>
        <v>0.02351403972762964</v>
      </c>
      <c r="AW94" s="509">
        <v>2715</v>
      </c>
      <c r="AX94" s="506">
        <f>AW94/AW$92</f>
        <v>0.005722550275291553</v>
      </c>
      <c r="AY94" s="512">
        <v>917</v>
      </c>
      <c r="AZ94" s="506">
        <f>AY94/AY$92</f>
        <v>0.0012604190056121495</v>
      </c>
      <c r="BA94" s="512">
        <v>151</v>
      </c>
      <c r="BB94" s="506">
        <f>BA94/BA$92</f>
        <v>0.012464978363769344</v>
      </c>
      <c r="BC94" s="512">
        <f>AW94+AY94+BA94</f>
        <v>3783</v>
      </c>
      <c r="BD94" s="515">
        <f aca="true" t="shared" si="75" ref="BD94:BD118">BC94/BC$92</f>
        <v>0.0031159175697720912</v>
      </c>
      <c r="BE94" s="338"/>
      <c r="BF94" s="338"/>
      <c r="BG94" s="350"/>
    </row>
    <row r="95" spans="1:59" ht="11.25" customHeight="1">
      <c r="A95" s="422">
        <v>13000</v>
      </c>
      <c r="B95" s="423" t="s">
        <v>82</v>
      </c>
      <c r="C95" s="346"/>
      <c r="D95" s="454"/>
      <c r="E95" s="437"/>
      <c r="F95" s="448"/>
      <c r="G95" s="437">
        <v>26175.600000000002</v>
      </c>
      <c r="H95" s="448">
        <f t="shared" si="67"/>
        <v>0.007450068289304154</v>
      </c>
      <c r="I95" s="346">
        <v>52628.049999999996</v>
      </c>
      <c r="J95" s="451">
        <f t="shared" si="61"/>
        <v>0.01202183119342977</v>
      </c>
      <c r="K95" s="65"/>
      <c r="L95" s="474">
        <v>39.8</v>
      </c>
      <c r="M95" s="472">
        <v>81.2</v>
      </c>
      <c r="N95" s="473">
        <f t="shared" si="68"/>
        <v>221.3</v>
      </c>
      <c r="O95" s="448">
        <f t="shared" si="62"/>
        <v>0.02185614253404837</v>
      </c>
      <c r="P95" s="509"/>
      <c r="Q95" s="506"/>
      <c r="R95" s="512"/>
      <c r="S95" s="506"/>
      <c r="T95" s="512"/>
      <c r="U95" s="506"/>
      <c r="V95" s="517"/>
      <c r="W95" s="515"/>
      <c r="Y95" s="525">
        <v>164</v>
      </c>
      <c r="Z95" s="506">
        <f t="shared" si="63"/>
        <v>0.013130504403522819</v>
      </c>
      <c r="AA95" s="512">
        <v>24</v>
      </c>
      <c r="AB95" s="506">
        <f t="shared" si="64"/>
        <v>0.0025988088792636707</v>
      </c>
      <c r="AC95" s="512">
        <v>2</v>
      </c>
      <c r="AD95" s="506">
        <f t="shared" si="65"/>
        <v>0.0007555723460521345</v>
      </c>
      <c r="AE95" s="512">
        <f aca="true" t="shared" si="76" ref="AE95:AE118">Y95+AA95+AC95</f>
        <v>190</v>
      </c>
      <c r="AF95" s="32">
        <f t="shared" si="69"/>
        <v>0.007795831281798785</v>
      </c>
      <c r="AG95" s="509"/>
      <c r="AH95" s="506">
        <f t="shared" si="66"/>
        <v>0</v>
      </c>
      <c r="AI95" s="512">
        <v>9</v>
      </c>
      <c r="AJ95" s="506">
        <f t="shared" si="70"/>
        <v>0.0036261079774375505</v>
      </c>
      <c r="AK95" s="512"/>
      <c r="AL95" s="506">
        <f t="shared" si="71"/>
        <v>0</v>
      </c>
      <c r="AM95" s="512">
        <f aca="true" t="shared" si="77" ref="AM95:AM118">AG95+AI95+AK95</f>
        <v>9</v>
      </c>
      <c r="AN95" s="438">
        <f t="shared" si="72"/>
        <v>0.0030313236780060626</v>
      </c>
      <c r="AO95" s="509">
        <v>23427.36</v>
      </c>
      <c r="AP95" s="506">
        <f>AO95/AO$92</f>
        <v>0.07597448500325563</v>
      </c>
      <c r="AQ95" s="512">
        <v>23478.36</v>
      </c>
      <c r="AR95" s="506">
        <f>AQ95/AQ$92</f>
        <v>0.032991270894818646</v>
      </c>
      <c r="AS95" s="512">
        <v>0</v>
      </c>
      <c r="AT95" s="506">
        <f>AS95/AS$92</f>
        <v>0</v>
      </c>
      <c r="AU95" s="512">
        <f aca="true" t="shared" si="78" ref="AU95:AU118">AO95+AQ95+AS95</f>
        <v>46905.72</v>
      </c>
      <c r="AV95" s="438">
        <f t="shared" si="74"/>
        <v>0.0430551182235653</v>
      </c>
      <c r="AW95" s="509">
        <v>10296.9</v>
      </c>
      <c r="AX95" s="506">
        <f>AW95/AW$92</f>
        <v>0.021703325204290826</v>
      </c>
      <c r="AY95" s="512">
        <v>141.78</v>
      </c>
      <c r="AZ95" s="506">
        <f>AY95/AY$92</f>
        <v>0.00019487699739988065</v>
      </c>
      <c r="BA95" s="512">
        <v>0</v>
      </c>
      <c r="BB95" s="506">
        <f>BA95/BA$92</f>
        <v>0</v>
      </c>
      <c r="BC95" s="512">
        <f aca="true" t="shared" si="79" ref="BC95:BC118">AW95+AY95+BA95</f>
        <v>10438.68</v>
      </c>
      <c r="BD95" s="515">
        <f t="shared" si="75"/>
        <v>0.008597955701091339</v>
      </c>
      <c r="BE95" s="338"/>
      <c r="BF95" s="338"/>
      <c r="BG95" s="350"/>
    </row>
    <row r="96" spans="1:59" ht="11.25" customHeight="1">
      <c r="A96" s="422">
        <v>14000</v>
      </c>
      <c r="B96" s="423" t="s">
        <v>83</v>
      </c>
      <c r="C96" s="346"/>
      <c r="D96" s="454"/>
      <c r="E96" s="437"/>
      <c r="F96" s="448"/>
      <c r="G96" s="437">
        <v>377344.56</v>
      </c>
      <c r="H96" s="448">
        <f t="shared" si="67"/>
        <v>0.10739936202407695</v>
      </c>
      <c r="I96" s="346">
        <v>407301.75000000006</v>
      </c>
      <c r="J96" s="451">
        <f t="shared" si="61"/>
        <v>0.09303998311334992</v>
      </c>
      <c r="K96" s="65"/>
      <c r="L96" s="474">
        <v>195.7</v>
      </c>
      <c r="M96" s="472">
        <v>309.1</v>
      </c>
      <c r="N96" s="473">
        <f t="shared" si="68"/>
        <v>952.9000000000001</v>
      </c>
      <c r="O96" s="448">
        <f t="shared" si="62"/>
        <v>0.094110791779009</v>
      </c>
      <c r="P96" s="509"/>
      <c r="Q96" s="506"/>
      <c r="R96" s="512"/>
      <c r="S96" s="506"/>
      <c r="T96" s="512"/>
      <c r="U96" s="506"/>
      <c r="V96" s="517"/>
      <c r="W96" s="515"/>
      <c r="Y96" s="525">
        <v>2339</v>
      </c>
      <c r="Z96" s="506">
        <f>Y96/Y$92</f>
        <v>0.18726981585268215</v>
      </c>
      <c r="AA96" s="512">
        <v>2102</v>
      </c>
      <c r="AB96" s="506">
        <f t="shared" si="64"/>
        <v>0.2276123443421765</v>
      </c>
      <c r="AC96" s="512">
        <v>373</v>
      </c>
      <c r="AD96" s="506">
        <f t="shared" si="65"/>
        <v>0.1409142425387231</v>
      </c>
      <c r="AE96" s="512">
        <f t="shared" si="76"/>
        <v>4814</v>
      </c>
      <c r="AF96" s="32">
        <f t="shared" si="69"/>
        <v>0.1975217462662071</v>
      </c>
      <c r="AG96" s="509"/>
      <c r="AH96" s="506">
        <f t="shared" si="66"/>
        <v>0</v>
      </c>
      <c r="AI96" s="512">
        <v>359</v>
      </c>
      <c r="AJ96" s="506">
        <f t="shared" si="70"/>
        <v>0.14464141821112006</v>
      </c>
      <c r="AK96" s="512">
        <v>7</v>
      </c>
      <c r="AL96" s="506">
        <f t="shared" si="71"/>
        <v>0.029045643153526972</v>
      </c>
      <c r="AM96" s="512">
        <f t="shared" si="77"/>
        <v>366</v>
      </c>
      <c r="AN96" s="438">
        <f t="shared" si="72"/>
        <v>0.12327382957224654</v>
      </c>
      <c r="AO96" s="509">
        <v>59894.45999999999</v>
      </c>
      <c r="AP96" s="506">
        <f t="shared" si="73"/>
        <v>0.19423659998600326</v>
      </c>
      <c r="AQ96" s="512">
        <v>138562.44</v>
      </c>
      <c r="AR96" s="506">
        <f t="shared" si="73"/>
        <v>0.19470486839315243</v>
      </c>
      <c r="AS96" s="512">
        <v>20263.5</v>
      </c>
      <c r="AT96" s="506">
        <f>AS96/AS$92</f>
        <v>0.2918875611691233</v>
      </c>
      <c r="AU96" s="512">
        <f t="shared" si="78"/>
        <v>218720.4</v>
      </c>
      <c r="AV96" s="438">
        <f t="shared" si="74"/>
        <v>0.20076512373982303</v>
      </c>
      <c r="AW96" s="509">
        <v>5053.62</v>
      </c>
      <c r="AX96" s="506">
        <f>AW96/AW$92</f>
        <v>0.010651784354408434</v>
      </c>
      <c r="AY96" s="512">
        <v>200803.02</v>
      </c>
      <c r="AZ96" s="506">
        <f>AY96/AY$92</f>
        <v>0.2760042996644673</v>
      </c>
      <c r="BA96" s="512">
        <v>402.41999999999996</v>
      </c>
      <c r="BB96" s="506">
        <f>BA96/BA$92</f>
        <v>0.03321958008707324</v>
      </c>
      <c r="BC96" s="512">
        <f t="shared" si="79"/>
        <v>206259.06</v>
      </c>
      <c r="BD96" s="515">
        <f t="shared" si="75"/>
        <v>0.1698879801688279</v>
      </c>
      <c r="BE96" s="338"/>
      <c r="BF96" s="338"/>
      <c r="BG96" s="350"/>
    </row>
    <row r="97" spans="1:59" ht="11.25" customHeight="1">
      <c r="A97" s="422">
        <v>15000</v>
      </c>
      <c r="B97" s="423" t="s">
        <v>84</v>
      </c>
      <c r="C97" s="346"/>
      <c r="D97" s="454"/>
      <c r="E97" s="437"/>
      <c r="F97" s="448"/>
      <c r="G97" s="437">
        <v>230900.62</v>
      </c>
      <c r="H97" s="448">
        <f t="shared" si="67"/>
        <v>0.06571866115934949</v>
      </c>
      <c r="I97" s="346">
        <v>176489.46</v>
      </c>
      <c r="J97" s="451">
        <f t="shared" si="61"/>
        <v>0.040315506569967456</v>
      </c>
      <c r="K97" s="65"/>
      <c r="L97" s="474">
        <v>140.3</v>
      </c>
      <c r="M97" s="472">
        <v>229.2</v>
      </c>
      <c r="N97" s="473">
        <f t="shared" si="68"/>
        <v>694.55</v>
      </c>
      <c r="O97" s="448">
        <f t="shared" si="62"/>
        <v>0.06859549840498551</v>
      </c>
      <c r="P97" s="509"/>
      <c r="Q97" s="506"/>
      <c r="R97" s="512"/>
      <c r="S97" s="506"/>
      <c r="T97" s="512"/>
      <c r="U97" s="506"/>
      <c r="V97" s="517"/>
      <c r="W97" s="515"/>
      <c r="Y97" s="525">
        <v>430</v>
      </c>
      <c r="Z97" s="506">
        <f t="shared" si="63"/>
        <v>0.0344275420336269</v>
      </c>
      <c r="AA97" s="512">
        <v>599</v>
      </c>
      <c r="AB97" s="506">
        <f t="shared" si="64"/>
        <v>0.06486193827828912</v>
      </c>
      <c r="AC97" s="512">
        <v>165</v>
      </c>
      <c r="AD97" s="506">
        <f t="shared" si="65"/>
        <v>0.062334718549301095</v>
      </c>
      <c r="AE97" s="512">
        <f t="shared" si="76"/>
        <v>1194</v>
      </c>
      <c r="AF97" s="32">
        <f t="shared" si="69"/>
        <v>0.04899064500246184</v>
      </c>
      <c r="AG97" s="509"/>
      <c r="AH97" s="506">
        <f t="shared" si="66"/>
        <v>0</v>
      </c>
      <c r="AI97" s="512">
        <v>220</v>
      </c>
      <c r="AJ97" s="506">
        <f t="shared" si="70"/>
        <v>0.088638195004029</v>
      </c>
      <c r="AK97" s="512">
        <v>3</v>
      </c>
      <c r="AL97" s="506">
        <f t="shared" si="71"/>
        <v>0.012448132780082987</v>
      </c>
      <c r="AM97" s="512">
        <f t="shared" si="77"/>
        <v>223</v>
      </c>
      <c r="AN97" s="438">
        <f t="shared" si="72"/>
        <v>0.07510946446615022</v>
      </c>
      <c r="AO97" s="509">
        <v>34071.06</v>
      </c>
      <c r="AP97" s="506">
        <f t="shared" si="73"/>
        <v>0.11049180261945958</v>
      </c>
      <c r="AQ97" s="512">
        <v>45235.98</v>
      </c>
      <c r="AR97" s="506">
        <f t="shared" si="73"/>
        <v>0.06356459609498272</v>
      </c>
      <c r="AS97" s="512">
        <v>3505.7400000000002</v>
      </c>
      <c r="AT97" s="506">
        <f>AS97/AS$92</f>
        <v>0.05049877359257001</v>
      </c>
      <c r="AU97" s="512">
        <f t="shared" si="78"/>
        <v>82812.78000000001</v>
      </c>
      <c r="AV97" s="438">
        <f t="shared" si="74"/>
        <v>0.07601448252626981</v>
      </c>
      <c r="AW97" s="509">
        <v>27221.760000000002</v>
      </c>
      <c r="AX97" s="506">
        <f>AW97/AW$92</f>
        <v>0.05737675513146247</v>
      </c>
      <c r="AY97" s="512">
        <v>15527.460000000001</v>
      </c>
      <c r="AZ97" s="506">
        <f>AY97/AY$92</f>
        <v>0.021342536197254555</v>
      </c>
      <c r="BA97" s="512">
        <v>282.54</v>
      </c>
      <c r="BB97" s="506">
        <f>BA97/BA$92</f>
        <v>0.023323542959598615</v>
      </c>
      <c r="BC97" s="512">
        <f t="shared" si="79"/>
        <v>43031.76</v>
      </c>
      <c r="BD97" s="515">
        <f t="shared" si="75"/>
        <v>0.03544367355067827</v>
      </c>
      <c r="BE97" s="338"/>
      <c r="BF97" s="338"/>
      <c r="BG97" s="350"/>
    </row>
    <row r="98" spans="1:59" ht="11.25" customHeight="1">
      <c r="A98" s="422">
        <v>16000</v>
      </c>
      <c r="B98" s="423" t="s">
        <v>85</v>
      </c>
      <c r="C98" s="346"/>
      <c r="D98" s="454"/>
      <c r="E98" s="437"/>
      <c r="F98" s="448"/>
      <c r="G98" s="437">
        <v>30875.12</v>
      </c>
      <c r="H98" s="448">
        <f t="shared" si="67"/>
        <v>0.008787640109126837</v>
      </c>
      <c r="I98" s="346">
        <v>86365</v>
      </c>
      <c r="J98" s="451">
        <f t="shared" si="61"/>
        <v>0.019728366356354877</v>
      </c>
      <c r="K98" s="65"/>
      <c r="L98" s="474">
        <v>34.2</v>
      </c>
      <c r="M98" s="472">
        <v>39.1</v>
      </c>
      <c r="N98" s="473">
        <f t="shared" si="68"/>
        <v>144.15</v>
      </c>
      <c r="O98" s="448">
        <f t="shared" si="62"/>
        <v>0.01423661521140114</v>
      </c>
      <c r="P98" s="509"/>
      <c r="Q98" s="506"/>
      <c r="R98" s="512"/>
      <c r="S98" s="506"/>
      <c r="T98" s="512"/>
      <c r="U98" s="506"/>
      <c r="V98" s="517"/>
      <c r="W98" s="515"/>
      <c r="Y98" s="525">
        <v>9</v>
      </c>
      <c r="Z98" s="506">
        <f t="shared" si="63"/>
        <v>0.0007205764611689352</v>
      </c>
      <c r="AA98" s="512">
        <v>332</v>
      </c>
      <c r="AB98" s="506">
        <f t="shared" si="64"/>
        <v>0.03595018949648078</v>
      </c>
      <c r="AC98" s="512">
        <v>37</v>
      </c>
      <c r="AD98" s="506">
        <f t="shared" si="65"/>
        <v>0.013978088401964487</v>
      </c>
      <c r="AE98" s="512">
        <f t="shared" si="76"/>
        <v>378</v>
      </c>
      <c r="AF98" s="32">
        <f t="shared" si="69"/>
        <v>0.0155096011816839</v>
      </c>
      <c r="AG98" s="509"/>
      <c r="AH98" s="506">
        <f t="shared" si="66"/>
        <v>0</v>
      </c>
      <c r="AI98" s="512">
        <v>103</v>
      </c>
      <c r="AJ98" s="506">
        <f t="shared" si="70"/>
        <v>0.041498791297340853</v>
      </c>
      <c r="AK98" s="512"/>
      <c r="AL98" s="506">
        <f t="shared" si="71"/>
        <v>0</v>
      </c>
      <c r="AM98" s="512">
        <f t="shared" si="77"/>
        <v>103</v>
      </c>
      <c r="AN98" s="438">
        <f t="shared" si="72"/>
        <v>0.03469181542606938</v>
      </c>
      <c r="AO98" s="509">
        <v>0</v>
      </c>
      <c r="AP98" s="506">
        <f t="shared" si="73"/>
        <v>0</v>
      </c>
      <c r="AQ98" s="512">
        <v>6367.86</v>
      </c>
      <c r="AR98" s="506">
        <f t="shared" si="73"/>
        <v>0.008947975679744233</v>
      </c>
      <c r="AS98" s="512">
        <v>647.7</v>
      </c>
      <c r="AT98" s="506">
        <f>AS98/AS$92</f>
        <v>0.009329857792051777</v>
      </c>
      <c r="AU98" s="512">
        <f t="shared" si="78"/>
        <v>7015.5599999999995</v>
      </c>
      <c r="AV98" s="438">
        <f t="shared" si="74"/>
        <v>0.006439636044484889</v>
      </c>
      <c r="AW98" s="509">
        <v>0</v>
      </c>
      <c r="AX98" s="506">
        <f>AW98/AW$92</f>
        <v>0</v>
      </c>
      <c r="AY98" s="512">
        <v>1889.04</v>
      </c>
      <c r="AZ98" s="506">
        <f>AY98/AY$92</f>
        <v>0.002596490641615676</v>
      </c>
      <c r="BA98" s="512">
        <v>31.62</v>
      </c>
      <c r="BB98" s="506">
        <f>BA98/BA$92</f>
        <v>0.0026102159990886538</v>
      </c>
      <c r="BC98" s="512">
        <f t="shared" si="79"/>
        <v>1920.6599999999999</v>
      </c>
      <c r="BD98" s="515">
        <f t="shared" si="75"/>
        <v>0.0015819768013635908</v>
      </c>
      <c r="BE98" s="338"/>
      <c r="BF98" s="338"/>
      <c r="BG98" s="350"/>
    </row>
    <row r="99" spans="1:59" ht="11.25" customHeight="1">
      <c r="A99" s="422">
        <v>17000</v>
      </c>
      <c r="B99" s="423" t="s">
        <v>86</v>
      </c>
      <c r="C99" s="346"/>
      <c r="D99" s="454"/>
      <c r="E99" s="437"/>
      <c r="F99" s="448"/>
      <c r="G99" s="437">
        <v>42807.72</v>
      </c>
      <c r="H99" s="448">
        <f t="shared" si="67"/>
        <v>0.012183882597129051</v>
      </c>
      <c r="I99" s="346">
        <v>57155.9</v>
      </c>
      <c r="J99" s="451">
        <f t="shared" si="61"/>
        <v>0.013056128462075883</v>
      </c>
      <c r="K99" s="65"/>
      <c r="L99" s="474">
        <v>32.5</v>
      </c>
      <c r="M99" s="472">
        <v>90.2</v>
      </c>
      <c r="N99" s="473">
        <f t="shared" si="68"/>
        <v>216.55</v>
      </c>
      <c r="O99" s="448">
        <f t="shared" si="62"/>
        <v>0.021387020631487456</v>
      </c>
      <c r="P99" s="509"/>
      <c r="Q99" s="506"/>
      <c r="R99" s="512"/>
      <c r="S99" s="506"/>
      <c r="T99" s="512"/>
      <c r="U99" s="506"/>
      <c r="V99" s="517"/>
      <c r="W99" s="515"/>
      <c r="Y99" s="525">
        <v>132</v>
      </c>
      <c r="Z99" s="506">
        <f t="shared" si="63"/>
        <v>0.010568454763811049</v>
      </c>
      <c r="AA99" s="512">
        <v>90</v>
      </c>
      <c r="AB99" s="506">
        <f>AA99/AA$92</f>
        <v>0.009745533297238766</v>
      </c>
      <c r="AC99" s="512">
        <v>25</v>
      </c>
      <c r="AD99" s="506">
        <f t="shared" si="65"/>
        <v>0.009444654325651681</v>
      </c>
      <c r="AE99" s="512">
        <f t="shared" si="76"/>
        <v>247</v>
      </c>
      <c r="AF99" s="32">
        <f t="shared" si="69"/>
        <v>0.010134580666338421</v>
      </c>
      <c r="AG99" s="509">
        <v>46</v>
      </c>
      <c r="AH99" s="506">
        <f t="shared" si="66"/>
        <v>0.18699186991869918</v>
      </c>
      <c r="AI99" s="512">
        <v>0</v>
      </c>
      <c r="AJ99" s="506">
        <f t="shared" si="70"/>
        <v>0</v>
      </c>
      <c r="AK99" s="512"/>
      <c r="AL99" s="506">
        <f t="shared" si="71"/>
        <v>0</v>
      </c>
      <c r="AM99" s="512">
        <f t="shared" si="77"/>
        <v>46</v>
      </c>
      <c r="AN99" s="438">
        <f t="shared" si="72"/>
        <v>0.015493432132030987</v>
      </c>
      <c r="AO99" s="509">
        <v>3396.6</v>
      </c>
      <c r="AP99" s="506">
        <f t="shared" si="73"/>
        <v>0.011015109502823112</v>
      </c>
      <c r="AQ99" s="512">
        <v>9658.380000000001</v>
      </c>
      <c r="AR99" s="506">
        <f t="shared" si="73"/>
        <v>0.013571741424234849</v>
      </c>
      <c r="AS99" s="512">
        <v>0</v>
      </c>
      <c r="AT99" s="506">
        <f>AS99/AS$92</f>
        <v>0</v>
      </c>
      <c r="AU99" s="512">
        <f t="shared" si="78"/>
        <v>13054.980000000001</v>
      </c>
      <c r="AV99" s="438">
        <f t="shared" si="74"/>
        <v>0.011983265736167797</v>
      </c>
      <c r="AW99" s="509">
        <v>29411.7</v>
      </c>
      <c r="AX99" s="506">
        <f>AW99/AW$92</f>
        <v>0.06199260844633244</v>
      </c>
      <c r="AY99" s="512">
        <v>1837.02</v>
      </c>
      <c r="AZ99" s="506">
        <f>AY99/AY$92</f>
        <v>0.0025249890094761513</v>
      </c>
      <c r="BA99" s="512">
        <v>0</v>
      </c>
      <c r="BB99" s="506">
        <f>BA99/BA$92</f>
        <v>0</v>
      </c>
      <c r="BC99" s="512">
        <f t="shared" si="79"/>
        <v>31248.72</v>
      </c>
      <c r="BD99" s="515">
        <f t="shared" si="75"/>
        <v>0.0257384181022703</v>
      </c>
      <c r="BE99" s="338"/>
      <c r="BF99" s="338"/>
      <c r="BG99" s="350"/>
    </row>
    <row r="100" spans="1:59" ht="11.25" customHeight="1">
      <c r="A100" s="422">
        <v>18000</v>
      </c>
      <c r="B100" s="423" t="s">
        <v>87</v>
      </c>
      <c r="C100" s="346"/>
      <c r="D100" s="454"/>
      <c r="E100" s="437"/>
      <c r="F100" s="448"/>
      <c r="G100" s="437">
        <v>8380</v>
      </c>
      <c r="H100" s="448">
        <f t="shared" si="67"/>
        <v>0.002385105681029998</v>
      </c>
      <c r="I100" s="346">
        <v>42273.729999999996</v>
      </c>
      <c r="J100" s="451">
        <f t="shared" si="61"/>
        <v>0.00965659274809969</v>
      </c>
      <c r="K100" s="65"/>
      <c r="L100" s="474">
        <v>31.9</v>
      </c>
      <c r="M100" s="472">
        <v>66.1</v>
      </c>
      <c r="N100" s="473">
        <f t="shared" si="68"/>
        <v>178.89999999999998</v>
      </c>
      <c r="O100" s="448">
        <f t="shared" si="62"/>
        <v>0.017668612288030964</v>
      </c>
      <c r="P100" s="509"/>
      <c r="Q100" s="506"/>
      <c r="R100" s="512"/>
      <c r="S100" s="506"/>
      <c r="T100" s="512"/>
      <c r="U100" s="506"/>
      <c r="V100" s="517"/>
      <c r="W100" s="515"/>
      <c r="Y100" s="525">
        <v>62</v>
      </c>
      <c r="Z100" s="506">
        <f t="shared" si="63"/>
        <v>0.004963971176941554</v>
      </c>
      <c r="AA100" s="512">
        <v>11</v>
      </c>
      <c r="AB100" s="506">
        <f t="shared" si="64"/>
        <v>0.0011911207363291825</v>
      </c>
      <c r="AC100" s="512">
        <v>10</v>
      </c>
      <c r="AD100" s="506">
        <f t="shared" si="65"/>
        <v>0.0037778617302606727</v>
      </c>
      <c r="AE100" s="512">
        <f t="shared" si="76"/>
        <v>83</v>
      </c>
      <c r="AF100" s="32">
        <f t="shared" si="69"/>
        <v>0.003405547349417364</v>
      </c>
      <c r="AG100" s="509">
        <v>23</v>
      </c>
      <c r="AH100" s="506">
        <f t="shared" si="66"/>
        <v>0.09349593495934959</v>
      </c>
      <c r="AI100" s="512">
        <v>4</v>
      </c>
      <c r="AJ100" s="506">
        <f t="shared" si="70"/>
        <v>0.0016116035455278</v>
      </c>
      <c r="AK100" s="512">
        <v>3</v>
      </c>
      <c r="AL100" s="506">
        <f t="shared" si="71"/>
        <v>0.012448132780082987</v>
      </c>
      <c r="AM100" s="512">
        <f t="shared" si="77"/>
        <v>30</v>
      </c>
      <c r="AN100" s="438">
        <f t="shared" si="72"/>
        <v>0.010104412260020209</v>
      </c>
      <c r="AO100" s="509">
        <v>16871.82</v>
      </c>
      <c r="AP100" s="506">
        <f t="shared" si="73"/>
        <v>0.054714992878737864</v>
      </c>
      <c r="AQ100" s="512">
        <v>12807.12</v>
      </c>
      <c r="AR100" s="506">
        <f t="shared" si="73"/>
        <v>0.017996281056362102</v>
      </c>
      <c r="AS100" s="512">
        <v>0</v>
      </c>
      <c r="AT100" s="506">
        <f>AS100/AS$92</f>
        <v>0</v>
      </c>
      <c r="AU100" s="512">
        <f t="shared" si="78"/>
        <v>29678.940000000002</v>
      </c>
      <c r="AV100" s="438">
        <f t="shared" si="74"/>
        <v>0.027242525441462176</v>
      </c>
      <c r="AW100" s="509">
        <v>389.64</v>
      </c>
      <c r="AX100" s="506">
        <f>AW100/AW$92</f>
        <v>0.0008212650052539965</v>
      </c>
      <c r="AY100" s="512">
        <v>12154.32</v>
      </c>
      <c r="AZ100" s="506">
        <f>AY100/AY$92</f>
        <v>0.016706146050481853</v>
      </c>
      <c r="BA100" s="512">
        <v>0</v>
      </c>
      <c r="BB100" s="506">
        <f>BA100/BA$92</f>
        <v>0</v>
      </c>
      <c r="BC100" s="512">
        <f t="shared" si="79"/>
        <v>12543.96</v>
      </c>
      <c r="BD100" s="515">
        <f t="shared" si="75"/>
        <v>0.010331997187025726</v>
      </c>
      <c r="BE100" s="338"/>
      <c r="BF100" s="338"/>
      <c r="BG100" s="350"/>
    </row>
    <row r="101" spans="1:59" ht="11.25" customHeight="1">
      <c r="A101" s="422">
        <v>19000</v>
      </c>
      <c r="B101" s="423" t="s">
        <v>88</v>
      </c>
      <c r="C101" s="346"/>
      <c r="D101" s="454"/>
      <c r="E101" s="437"/>
      <c r="F101" s="448"/>
      <c r="G101" s="437">
        <v>9520</v>
      </c>
      <c r="H101" s="448">
        <f t="shared" si="67"/>
        <v>0.00270957113167131</v>
      </c>
      <c r="I101" s="346">
        <v>49606.67</v>
      </c>
      <c r="J101" s="451">
        <f t="shared" si="61"/>
        <v>0.011331657030959286</v>
      </c>
      <c r="K101" s="65"/>
      <c r="L101" s="474">
        <v>18.1</v>
      </c>
      <c r="M101" s="472">
        <v>41.4</v>
      </c>
      <c r="N101" s="473">
        <f t="shared" si="68"/>
        <v>107.35</v>
      </c>
      <c r="O101" s="448">
        <f t="shared" si="62"/>
        <v>0.010602154997876603</v>
      </c>
      <c r="P101" s="509"/>
      <c r="Q101" s="506"/>
      <c r="R101" s="512"/>
      <c r="S101" s="506"/>
      <c r="T101" s="512"/>
      <c r="U101" s="506"/>
      <c r="V101" s="517"/>
      <c r="W101" s="515"/>
      <c r="Y101" s="525">
        <v>325</v>
      </c>
      <c r="Z101" s="506">
        <f t="shared" si="63"/>
        <v>0.02602081665332266</v>
      </c>
      <c r="AA101" s="512">
        <v>108</v>
      </c>
      <c r="AB101" s="506">
        <f t="shared" si="64"/>
        <v>0.011694639956686518</v>
      </c>
      <c r="AC101" s="512">
        <v>25</v>
      </c>
      <c r="AD101" s="506">
        <f t="shared" si="65"/>
        <v>0.009444654325651681</v>
      </c>
      <c r="AE101" s="512">
        <f t="shared" si="76"/>
        <v>458</v>
      </c>
      <c r="AF101" s="32">
        <f t="shared" si="69"/>
        <v>0.018792056458230757</v>
      </c>
      <c r="AG101" s="509"/>
      <c r="AH101" s="506">
        <f t="shared" si="66"/>
        <v>0</v>
      </c>
      <c r="AI101" s="512">
        <v>0</v>
      </c>
      <c r="AJ101" s="506">
        <f t="shared" si="70"/>
        <v>0</v>
      </c>
      <c r="AK101" s="512"/>
      <c r="AL101" s="506">
        <f t="shared" si="71"/>
        <v>0</v>
      </c>
      <c r="AM101" s="512">
        <f t="shared" si="77"/>
        <v>0</v>
      </c>
      <c r="AN101" s="438">
        <f t="shared" si="72"/>
        <v>0</v>
      </c>
      <c r="AO101" s="509">
        <v>8592.48</v>
      </c>
      <c r="AP101" s="506">
        <f t="shared" si="73"/>
        <v>0.027865249985520087</v>
      </c>
      <c r="AQ101" s="512">
        <v>6363.78</v>
      </c>
      <c r="AR101" s="506">
        <f t="shared" si="73"/>
        <v>0.008942242554208597</v>
      </c>
      <c r="AS101" s="512">
        <v>476.34000000000003</v>
      </c>
      <c r="AT101" s="506">
        <f>AS101/AS$92</f>
        <v>0.006861485966753038</v>
      </c>
      <c r="AU101" s="512">
        <f t="shared" si="78"/>
        <v>15432.599999999999</v>
      </c>
      <c r="AV101" s="438">
        <f t="shared" si="74"/>
        <v>0.014165701272616512</v>
      </c>
      <c r="AW101" s="509">
        <v>8321.16</v>
      </c>
      <c r="AX101" s="506">
        <f>AW101/AW$92</f>
        <v>0.017538952651471477</v>
      </c>
      <c r="AY101" s="512">
        <v>274.38</v>
      </c>
      <c r="AZ101" s="506">
        <f>AY101/AY$92</f>
        <v>0.0003771360597163158</v>
      </c>
      <c r="BA101" s="512">
        <v>0</v>
      </c>
      <c r="BB101" s="506">
        <f>BA101/BA$92</f>
        <v>0</v>
      </c>
      <c r="BC101" s="512">
        <f t="shared" si="79"/>
        <v>8595.539999999999</v>
      </c>
      <c r="BD101" s="515">
        <f t="shared" si="75"/>
        <v>0.007079829264519904</v>
      </c>
      <c r="BE101" s="338"/>
      <c r="BF101" s="338"/>
      <c r="BG101" s="350"/>
    </row>
    <row r="102" spans="1:59" ht="11.25" customHeight="1">
      <c r="A102" s="422">
        <v>21000</v>
      </c>
      <c r="B102" s="423" t="s">
        <v>89</v>
      </c>
      <c r="C102" s="346"/>
      <c r="D102" s="454"/>
      <c r="E102" s="437"/>
      <c r="F102" s="448"/>
      <c r="G102" s="437">
        <v>508877</v>
      </c>
      <c r="H102" s="448">
        <f t="shared" si="67"/>
        <v>0.14483596940877114</v>
      </c>
      <c r="I102" s="346">
        <v>574651.62</v>
      </c>
      <c r="J102" s="451">
        <f t="shared" si="61"/>
        <v>0.13126773214418835</v>
      </c>
      <c r="K102" s="65"/>
      <c r="L102" s="474">
        <v>185.2</v>
      </c>
      <c r="M102" s="472">
        <v>329.9</v>
      </c>
      <c r="N102" s="473">
        <f t="shared" si="68"/>
        <v>957.8499999999999</v>
      </c>
      <c r="O102" s="448">
        <f t="shared" si="62"/>
        <v>0.09459966618273036</v>
      </c>
      <c r="P102" s="509"/>
      <c r="Q102" s="506"/>
      <c r="R102" s="512"/>
      <c r="S102" s="506"/>
      <c r="T102" s="512"/>
      <c r="U102" s="506"/>
      <c r="V102" s="517"/>
      <c r="W102" s="515"/>
      <c r="Y102" s="525">
        <v>1209</v>
      </c>
      <c r="Z102" s="506">
        <f t="shared" si="63"/>
        <v>0.09679743795036029</v>
      </c>
      <c r="AA102" s="512">
        <v>434</v>
      </c>
      <c r="AB102" s="506">
        <f t="shared" si="64"/>
        <v>0.04699512723335138</v>
      </c>
      <c r="AC102" s="512">
        <v>198</v>
      </c>
      <c r="AD102" s="506">
        <f>AC102/AC$92</f>
        <v>0.07480166225916131</v>
      </c>
      <c r="AE102" s="512">
        <f t="shared" si="76"/>
        <v>1841</v>
      </c>
      <c r="AF102" s="32">
        <f t="shared" si="69"/>
        <v>0.07553750205153455</v>
      </c>
      <c r="AG102" s="509">
        <v>38</v>
      </c>
      <c r="AH102" s="506">
        <f t="shared" si="66"/>
        <v>0.15447154471544716</v>
      </c>
      <c r="AI102" s="512">
        <v>12</v>
      </c>
      <c r="AJ102" s="506">
        <f t="shared" si="70"/>
        <v>0.004834810636583401</v>
      </c>
      <c r="AK102" s="512">
        <v>5</v>
      </c>
      <c r="AL102" s="506">
        <f t="shared" si="71"/>
        <v>0.02074688796680498</v>
      </c>
      <c r="AM102" s="512">
        <f t="shared" si="77"/>
        <v>55</v>
      </c>
      <c r="AN102" s="438">
        <f t="shared" si="72"/>
        <v>0.018524755810037048</v>
      </c>
      <c r="AO102" s="509">
        <v>20593.8</v>
      </c>
      <c r="AP102" s="506">
        <f>AO102/AO$92</f>
        <v>0.06678530356216175</v>
      </c>
      <c r="AQ102" s="512">
        <v>41328.36</v>
      </c>
      <c r="AR102" s="506">
        <f>AQ102/AQ$92</f>
        <v>0.05807369511322712</v>
      </c>
      <c r="AS102" s="512">
        <v>6059.82</v>
      </c>
      <c r="AT102" s="506">
        <f>AS102/AS$92</f>
        <v>0.08728926794107023</v>
      </c>
      <c r="AU102" s="512">
        <f t="shared" si="78"/>
        <v>67981.98000000001</v>
      </c>
      <c r="AV102" s="438">
        <f t="shared" si="74"/>
        <v>0.062401178064680644</v>
      </c>
      <c r="AW102" s="509">
        <v>29829.9</v>
      </c>
      <c r="AX102" s="506">
        <f>AW102/AW$92</f>
        <v>0.06287407088652652</v>
      </c>
      <c r="AY102" s="512">
        <v>117918.12</v>
      </c>
      <c r="AZ102" s="506">
        <f>AY102/AY$92</f>
        <v>0.1620787781396446</v>
      </c>
      <c r="BA102" s="512">
        <v>592.62</v>
      </c>
      <c r="BB102" s="506">
        <f>BA102/BA$92</f>
        <v>0.04892049985388734</v>
      </c>
      <c r="BC102" s="512">
        <f t="shared" si="79"/>
        <v>148340.63999999998</v>
      </c>
      <c r="BD102" s="515">
        <f t="shared" si="75"/>
        <v>0.12218271384806677</v>
      </c>
      <c r="BE102" s="338"/>
      <c r="BF102" s="338"/>
      <c r="BG102" s="350"/>
    </row>
    <row r="103" spans="1:59" ht="11.25" customHeight="1">
      <c r="A103" s="422">
        <v>22000</v>
      </c>
      <c r="B103" s="423" t="s">
        <v>90</v>
      </c>
      <c r="C103" s="346"/>
      <c r="D103" s="454"/>
      <c r="E103" s="437"/>
      <c r="F103" s="448"/>
      <c r="G103" s="437">
        <v>165403.15</v>
      </c>
      <c r="H103" s="448">
        <f t="shared" si="67"/>
        <v>0.047076848773897</v>
      </c>
      <c r="I103" s="346">
        <v>111732.69</v>
      </c>
      <c r="J103" s="451">
        <f t="shared" si="61"/>
        <v>0.02552311054595066</v>
      </c>
      <c r="K103" s="65"/>
      <c r="L103" s="474">
        <v>59.9</v>
      </c>
      <c r="M103" s="472">
        <v>95.6</v>
      </c>
      <c r="N103" s="473">
        <f t="shared" si="68"/>
        <v>293.15</v>
      </c>
      <c r="O103" s="448">
        <f t="shared" si="62"/>
        <v>0.028952228575943418</v>
      </c>
      <c r="P103" s="509"/>
      <c r="Q103" s="506"/>
      <c r="R103" s="512"/>
      <c r="S103" s="506"/>
      <c r="T103" s="512"/>
      <c r="U103" s="506"/>
      <c r="V103" s="517"/>
      <c r="W103" s="515"/>
      <c r="Y103" s="525">
        <v>192</v>
      </c>
      <c r="Z103" s="506">
        <f t="shared" si="63"/>
        <v>0.015372297838270616</v>
      </c>
      <c r="AA103" s="512">
        <v>54</v>
      </c>
      <c r="AB103" s="506">
        <f t="shared" si="64"/>
        <v>0.005847319978343259</v>
      </c>
      <c r="AC103" s="512">
        <v>62</v>
      </c>
      <c r="AD103" s="506">
        <f t="shared" si="65"/>
        <v>0.02342274272761617</v>
      </c>
      <c r="AE103" s="512">
        <f t="shared" si="76"/>
        <v>308</v>
      </c>
      <c r="AF103" s="32">
        <f t="shared" si="69"/>
        <v>0.012637452814705399</v>
      </c>
      <c r="AG103" s="509">
        <v>5</v>
      </c>
      <c r="AH103" s="506">
        <f t="shared" si="66"/>
        <v>0.02032520325203252</v>
      </c>
      <c r="AI103" s="512">
        <v>3</v>
      </c>
      <c r="AJ103" s="506">
        <f t="shared" si="70"/>
        <v>0.0012087026591458502</v>
      </c>
      <c r="AK103" s="512">
        <v>4</v>
      </c>
      <c r="AL103" s="506">
        <f t="shared" si="71"/>
        <v>0.016597510373443983</v>
      </c>
      <c r="AM103" s="512">
        <f t="shared" si="77"/>
        <v>12</v>
      </c>
      <c r="AN103" s="438">
        <f t="shared" si="72"/>
        <v>0.0040417649040080834</v>
      </c>
      <c r="AO103" s="509">
        <v>2100.18</v>
      </c>
      <c r="AP103" s="506">
        <f t="shared" si="73"/>
        <v>0.006810843983877713</v>
      </c>
      <c r="AQ103" s="512">
        <v>9902.16</v>
      </c>
      <c r="AR103" s="506">
        <f t="shared" si="73"/>
        <v>0.013914295674989112</v>
      </c>
      <c r="AS103" s="512">
        <v>1385.16</v>
      </c>
      <c r="AT103" s="506">
        <f>AS103/AS$92</f>
        <v>0.01995267225449813</v>
      </c>
      <c r="AU103" s="512">
        <f t="shared" si="78"/>
        <v>13387.5</v>
      </c>
      <c r="AV103" s="438">
        <f t="shared" si="74"/>
        <v>0.01228848838090494</v>
      </c>
      <c r="AW103" s="509">
        <v>4567.56</v>
      </c>
      <c r="AX103" s="506">
        <f>AW103/AW$92</f>
        <v>0.00962728977363193</v>
      </c>
      <c r="AY103" s="512">
        <v>16777.98</v>
      </c>
      <c r="AZ103" s="506">
        <f>AY103/AY$92</f>
        <v>0.023061379354177243</v>
      </c>
      <c r="BA103" s="512">
        <v>668.1</v>
      </c>
      <c r="BB103" s="506">
        <f>BA103/BA$92</f>
        <v>0.05515133804526026</v>
      </c>
      <c r="BC103" s="512">
        <f t="shared" si="79"/>
        <v>22013.64</v>
      </c>
      <c r="BD103" s="515">
        <f t="shared" si="75"/>
        <v>0.018131823328215092</v>
      </c>
      <c r="BE103" s="338"/>
      <c r="BF103" s="338"/>
      <c r="BG103" s="350"/>
    </row>
    <row r="104" spans="1:59" ht="11.25" customHeight="1">
      <c r="A104" s="422">
        <v>23000</v>
      </c>
      <c r="B104" s="423" t="s">
        <v>91</v>
      </c>
      <c r="C104" s="346"/>
      <c r="D104" s="454"/>
      <c r="E104" s="437"/>
      <c r="F104" s="448"/>
      <c r="G104" s="437">
        <v>138328.12</v>
      </c>
      <c r="H104" s="448">
        <f t="shared" si="67"/>
        <v>0.03937078578260134</v>
      </c>
      <c r="I104" s="346">
        <v>100704.55</v>
      </c>
      <c r="J104" s="451">
        <f t="shared" si="61"/>
        <v>0.02300395132463217</v>
      </c>
      <c r="K104" s="65"/>
      <c r="L104" s="474">
        <v>66.1</v>
      </c>
      <c r="M104" s="472">
        <v>137.4</v>
      </c>
      <c r="N104" s="473">
        <f t="shared" si="68"/>
        <v>371.35</v>
      </c>
      <c r="O104" s="448">
        <f t="shared" si="62"/>
        <v>0.03667545652968306</v>
      </c>
      <c r="P104" s="509"/>
      <c r="Q104" s="506"/>
      <c r="R104" s="512"/>
      <c r="S104" s="506"/>
      <c r="T104" s="512"/>
      <c r="U104" s="506"/>
      <c r="V104" s="517"/>
      <c r="W104" s="515"/>
      <c r="Y104" s="525">
        <v>259</v>
      </c>
      <c r="Z104" s="506">
        <f t="shared" si="63"/>
        <v>0.020736589271417135</v>
      </c>
      <c r="AA104" s="512">
        <v>124</v>
      </c>
      <c r="AB104" s="506">
        <f t="shared" si="64"/>
        <v>0.013427179209528966</v>
      </c>
      <c r="AC104" s="512">
        <v>34</v>
      </c>
      <c r="AD104" s="506">
        <f t="shared" si="65"/>
        <v>0.012844729882886286</v>
      </c>
      <c r="AE104" s="512">
        <f t="shared" si="76"/>
        <v>417</v>
      </c>
      <c r="AF104" s="32">
        <f t="shared" si="69"/>
        <v>0.017109798129000493</v>
      </c>
      <c r="AG104" s="509"/>
      <c r="AH104" s="506">
        <f t="shared" si="66"/>
        <v>0</v>
      </c>
      <c r="AI104" s="512">
        <v>0</v>
      </c>
      <c r="AJ104" s="506">
        <f t="shared" si="70"/>
        <v>0</v>
      </c>
      <c r="AK104" s="512"/>
      <c r="AL104" s="506">
        <f t="shared" si="71"/>
        <v>0</v>
      </c>
      <c r="AM104" s="512">
        <f t="shared" si="77"/>
        <v>0</v>
      </c>
      <c r="AN104" s="438">
        <f t="shared" si="72"/>
        <v>0</v>
      </c>
      <c r="AO104" s="509">
        <v>16583.16</v>
      </c>
      <c r="AP104" s="506">
        <f t="shared" si="73"/>
        <v>0.05377887396303248</v>
      </c>
      <c r="AQ104" s="512">
        <v>28441.68</v>
      </c>
      <c r="AR104" s="506">
        <f t="shared" si="73"/>
        <v>0.03996561810892011</v>
      </c>
      <c r="AS104" s="512">
        <v>4194.24</v>
      </c>
      <c r="AT104" s="506">
        <f>AS104/AS$92</f>
        <v>0.06041633896207386</v>
      </c>
      <c r="AU104" s="512">
        <f t="shared" si="78"/>
        <v>49219.079999999994</v>
      </c>
      <c r="AV104" s="438">
        <f t="shared" si="74"/>
        <v>0.045178569015785666</v>
      </c>
      <c r="AW104" s="509">
        <v>15508.08</v>
      </c>
      <c r="AX104" s="506">
        <f>AW104/AW$92</f>
        <v>0.03268720717246535</v>
      </c>
      <c r="AY104" s="512">
        <v>4968.42</v>
      </c>
      <c r="AZ104" s="506">
        <f>AY104/AY$92</f>
        <v>0.00682910686571812</v>
      </c>
      <c r="BA104" s="512">
        <v>507.96000000000004</v>
      </c>
      <c r="BB104" s="506">
        <f>BA104/BA$92</f>
        <v>0.04193185701761773</v>
      </c>
      <c r="BC104" s="512">
        <f t="shared" si="79"/>
        <v>20984.46</v>
      </c>
      <c r="BD104" s="515">
        <f t="shared" si="75"/>
        <v>0.017284125721961315</v>
      </c>
      <c r="BE104" s="338"/>
      <c r="BF104" s="338"/>
      <c r="BG104" s="350"/>
    </row>
    <row r="105" spans="1:59" ht="11.25" customHeight="1">
      <c r="A105" s="422">
        <v>24000</v>
      </c>
      <c r="B105" s="423" t="s">
        <v>92</v>
      </c>
      <c r="C105" s="346"/>
      <c r="D105" s="454"/>
      <c r="E105" s="437"/>
      <c r="F105" s="448"/>
      <c r="G105" s="437">
        <v>101165.4</v>
      </c>
      <c r="H105" s="448">
        <f t="shared" si="67"/>
        <v>0.028793576403779487</v>
      </c>
      <c r="I105" s="346">
        <v>145297.61</v>
      </c>
      <c r="J105" s="451">
        <f t="shared" si="61"/>
        <v>0.03319034887723929</v>
      </c>
      <c r="K105" s="65"/>
      <c r="L105" s="474">
        <v>51.9</v>
      </c>
      <c r="M105" s="472">
        <v>106.5</v>
      </c>
      <c r="N105" s="473">
        <f t="shared" si="68"/>
        <v>289.5</v>
      </c>
      <c r="O105" s="448">
        <f t="shared" si="62"/>
        <v>0.028591745429765034</v>
      </c>
      <c r="P105" s="509"/>
      <c r="Q105" s="506"/>
      <c r="R105" s="512"/>
      <c r="S105" s="506"/>
      <c r="T105" s="512"/>
      <c r="U105" s="506"/>
      <c r="V105" s="517"/>
      <c r="W105" s="515"/>
      <c r="Y105" s="525">
        <v>362</v>
      </c>
      <c r="Z105" s="506">
        <f t="shared" si="63"/>
        <v>0.02898318654923939</v>
      </c>
      <c r="AA105" s="512">
        <v>143</v>
      </c>
      <c r="AB105" s="506">
        <f t="shared" si="64"/>
        <v>0.015484569572279372</v>
      </c>
      <c r="AC105" s="512">
        <v>42</v>
      </c>
      <c r="AD105" s="506">
        <f t="shared" si="65"/>
        <v>0.015867019267094825</v>
      </c>
      <c r="AE105" s="512">
        <f t="shared" si="76"/>
        <v>547</v>
      </c>
      <c r="AF105" s="32">
        <f t="shared" si="69"/>
        <v>0.022443787953389135</v>
      </c>
      <c r="AG105" s="509">
        <v>3</v>
      </c>
      <c r="AH105" s="506">
        <f t="shared" si="66"/>
        <v>0.012195121951219513</v>
      </c>
      <c r="AI105" s="512">
        <v>2</v>
      </c>
      <c r="AJ105" s="506">
        <f t="shared" si="70"/>
        <v>0.0008058017727639</v>
      </c>
      <c r="AK105" s="512">
        <v>1</v>
      </c>
      <c r="AL105" s="506">
        <f t="shared" si="71"/>
        <v>0.004149377593360996</v>
      </c>
      <c r="AM105" s="512">
        <f t="shared" si="77"/>
        <v>6</v>
      </c>
      <c r="AN105" s="438">
        <f t="shared" si="72"/>
        <v>0.0020208824520040417</v>
      </c>
      <c r="AO105" s="509">
        <v>12651.72</v>
      </c>
      <c r="AP105" s="506">
        <f t="shared" si="73"/>
        <v>0.041029288464657955</v>
      </c>
      <c r="AQ105" s="512">
        <v>15084.48</v>
      </c>
      <c r="AR105" s="506">
        <f t="shared" si="73"/>
        <v>0.021196376833282814</v>
      </c>
      <c r="AS105" s="512">
        <v>2337</v>
      </c>
      <c r="AT105" s="506">
        <f>AS105/AS$92</f>
        <v>0.033663544326115485</v>
      </c>
      <c r="AU105" s="512">
        <f t="shared" si="78"/>
        <v>30073.199999999997</v>
      </c>
      <c r="AV105" s="438">
        <f t="shared" si="74"/>
        <v>0.027604419703203015</v>
      </c>
      <c r="AW105" s="509">
        <v>10803.779999999999</v>
      </c>
      <c r="AX105" s="506">
        <f>AW105/AW$92</f>
        <v>0.022771703209277853</v>
      </c>
      <c r="AY105" s="512">
        <v>1200.4199999999998</v>
      </c>
      <c r="AZ105" s="506">
        <f>AY105/AY$92</f>
        <v>0.0016499805700293743</v>
      </c>
      <c r="BA105" s="512">
        <v>381.9</v>
      </c>
      <c r="BB105" s="506">
        <f>BA105/BA$92</f>
        <v>0.03152566382201002</v>
      </c>
      <c r="BC105" s="512">
        <f t="shared" si="79"/>
        <v>12386.099999999999</v>
      </c>
      <c r="BD105" s="515">
        <f t="shared" si="75"/>
        <v>0.01020197372745284</v>
      </c>
      <c r="BE105" s="338"/>
      <c r="BF105" s="338"/>
      <c r="BG105" s="350"/>
    </row>
    <row r="106" spans="1:59" ht="11.25" customHeight="1">
      <c r="A106" s="422">
        <v>25000</v>
      </c>
      <c r="B106" s="423" t="s">
        <v>93</v>
      </c>
      <c r="C106" s="346"/>
      <c r="D106" s="454"/>
      <c r="E106" s="437"/>
      <c r="F106" s="448"/>
      <c r="G106" s="437">
        <v>51147.659999999996</v>
      </c>
      <c r="H106" s="448">
        <f t="shared" si="67"/>
        <v>0.014557586448375986</v>
      </c>
      <c r="I106" s="346">
        <v>67315.11</v>
      </c>
      <c r="J106" s="451">
        <f t="shared" si="61"/>
        <v>0.015376797908855759</v>
      </c>
      <c r="K106" s="65"/>
      <c r="L106" s="474">
        <v>53.7</v>
      </c>
      <c r="M106" s="472">
        <v>98.9</v>
      </c>
      <c r="N106" s="473">
        <f t="shared" si="68"/>
        <v>282.6</v>
      </c>
      <c r="O106" s="448">
        <f t="shared" si="62"/>
        <v>0.027910284139729187</v>
      </c>
      <c r="P106" s="509"/>
      <c r="Q106" s="506"/>
      <c r="R106" s="512"/>
      <c r="S106" s="506"/>
      <c r="T106" s="512"/>
      <c r="U106" s="506"/>
      <c r="V106" s="517"/>
      <c r="W106" s="515"/>
      <c r="Y106" s="525">
        <v>137</v>
      </c>
      <c r="Z106" s="506">
        <f t="shared" si="63"/>
        <v>0.010968775020016013</v>
      </c>
      <c r="AA106" s="512">
        <v>39</v>
      </c>
      <c r="AB106" s="506">
        <f t="shared" si="64"/>
        <v>0.004223064428803465</v>
      </c>
      <c r="AC106" s="512">
        <v>34</v>
      </c>
      <c r="AD106" s="506">
        <f t="shared" si="65"/>
        <v>0.012844729882886286</v>
      </c>
      <c r="AE106" s="512">
        <f t="shared" si="76"/>
        <v>210</v>
      </c>
      <c r="AF106" s="32">
        <f t="shared" si="69"/>
        <v>0.0086164451009355</v>
      </c>
      <c r="AG106" s="509"/>
      <c r="AH106" s="506">
        <f t="shared" si="66"/>
        <v>0</v>
      </c>
      <c r="AI106" s="512">
        <v>0</v>
      </c>
      <c r="AJ106" s="506">
        <f t="shared" si="70"/>
        <v>0</v>
      </c>
      <c r="AK106" s="512"/>
      <c r="AL106" s="506">
        <f t="shared" si="71"/>
        <v>0</v>
      </c>
      <c r="AM106" s="512">
        <f t="shared" si="77"/>
        <v>0</v>
      </c>
      <c r="AN106" s="438">
        <f t="shared" si="72"/>
        <v>0</v>
      </c>
      <c r="AO106" s="509">
        <v>17201.28</v>
      </c>
      <c r="AP106" s="506">
        <f t="shared" si="73"/>
        <v>0.055783425422104786</v>
      </c>
      <c r="AQ106" s="512">
        <v>12495</v>
      </c>
      <c r="AR106" s="506">
        <f t="shared" si="73"/>
        <v>0.01755769695288593</v>
      </c>
      <c r="AS106" s="512">
        <v>1767.66</v>
      </c>
      <c r="AT106" s="506">
        <f>AS106/AS$92</f>
        <v>0.025462430793111383</v>
      </c>
      <c r="AU106" s="512">
        <f t="shared" si="78"/>
        <v>31463.94</v>
      </c>
      <c r="AV106" s="438">
        <f t="shared" si="74"/>
        <v>0.028880990558916162</v>
      </c>
      <c r="AW106" s="509">
        <v>18279.420000000002</v>
      </c>
      <c r="AX106" s="506">
        <f>AW106/AW$92</f>
        <v>0.03852850827004418</v>
      </c>
      <c r="AY106" s="512">
        <v>5292.78</v>
      </c>
      <c r="AZ106" s="506">
        <f>AY106/AY$92</f>
        <v>0.00727494057199986</v>
      </c>
      <c r="BA106" s="512">
        <v>0</v>
      </c>
      <c r="BB106" s="506">
        <f>BA106/BA$92</f>
        <v>0</v>
      </c>
      <c r="BC106" s="512">
        <f t="shared" si="79"/>
        <v>23572.2</v>
      </c>
      <c r="BD106" s="515">
        <f t="shared" si="75"/>
        <v>0.019415551715089</v>
      </c>
      <c r="BE106" s="338"/>
      <c r="BF106" s="338"/>
      <c r="BG106" s="350"/>
    </row>
    <row r="107" spans="1:59" ht="11.25" customHeight="1">
      <c r="A107" s="422">
        <v>26000</v>
      </c>
      <c r="B107" s="423" t="s">
        <v>94</v>
      </c>
      <c r="C107" s="346"/>
      <c r="D107" s="454"/>
      <c r="E107" s="437"/>
      <c r="F107" s="448"/>
      <c r="G107" s="437">
        <v>296507.70999999996</v>
      </c>
      <c r="H107" s="448">
        <f t="shared" si="67"/>
        <v>0.08439167345945048</v>
      </c>
      <c r="I107" s="346">
        <v>379323.72</v>
      </c>
      <c r="J107" s="451">
        <f t="shared" si="61"/>
        <v>0.08664895867325162</v>
      </c>
      <c r="K107" s="65"/>
      <c r="L107" s="474">
        <v>122.2</v>
      </c>
      <c r="M107" s="472">
        <v>260.6</v>
      </c>
      <c r="N107" s="473">
        <f t="shared" si="68"/>
        <v>696.4000000000001</v>
      </c>
      <c r="O107" s="448">
        <f t="shared" si="62"/>
        <v>0.06877820904071977</v>
      </c>
      <c r="P107" s="509"/>
      <c r="Q107" s="506"/>
      <c r="R107" s="512"/>
      <c r="S107" s="506"/>
      <c r="T107" s="512"/>
      <c r="U107" s="506"/>
      <c r="V107" s="517"/>
      <c r="W107" s="515"/>
      <c r="Y107" s="525">
        <v>1335</v>
      </c>
      <c r="Z107" s="506">
        <f t="shared" si="63"/>
        <v>0.10688550840672538</v>
      </c>
      <c r="AA107" s="512">
        <v>636</v>
      </c>
      <c r="AB107" s="506">
        <f t="shared" si="64"/>
        <v>0.06886843530048728</v>
      </c>
      <c r="AC107" s="512">
        <v>160</v>
      </c>
      <c r="AD107" s="506">
        <f t="shared" si="65"/>
        <v>0.06044578768417076</v>
      </c>
      <c r="AE107" s="512">
        <f t="shared" si="76"/>
        <v>2131</v>
      </c>
      <c r="AF107" s="32">
        <f t="shared" si="69"/>
        <v>0.0874364024290169</v>
      </c>
      <c r="AG107" s="509">
        <v>10</v>
      </c>
      <c r="AH107" s="506">
        <f t="shared" si="66"/>
        <v>0.04065040650406504</v>
      </c>
      <c r="AI107" s="512">
        <v>2</v>
      </c>
      <c r="AJ107" s="506">
        <f t="shared" si="70"/>
        <v>0.0008058017727639</v>
      </c>
      <c r="AK107" s="512">
        <v>9</v>
      </c>
      <c r="AL107" s="506">
        <f t="shared" si="71"/>
        <v>0.03734439834024896</v>
      </c>
      <c r="AM107" s="512">
        <f t="shared" si="77"/>
        <v>21</v>
      </c>
      <c r="AN107" s="438">
        <f t="shared" si="72"/>
        <v>0.007073088582014146</v>
      </c>
      <c r="AO107" s="509">
        <v>21721.559999999998</v>
      </c>
      <c r="AP107" s="506">
        <f t="shared" si="73"/>
        <v>0.07044260789381804</v>
      </c>
      <c r="AQ107" s="512">
        <v>52681.67999999999</v>
      </c>
      <c r="AR107" s="506">
        <f t="shared" si="73"/>
        <v>0.07402712864417059</v>
      </c>
      <c r="AS107" s="512">
        <v>9007.14</v>
      </c>
      <c r="AT107" s="506">
        <f>AS107/AS$92</f>
        <v>0.12974422620518947</v>
      </c>
      <c r="AU107" s="512">
        <f t="shared" si="78"/>
        <v>83410.37999999999</v>
      </c>
      <c r="AV107" s="438">
        <f t="shared" si="74"/>
        <v>0.07656302412525606</v>
      </c>
      <c r="AW107" s="509">
        <v>29172.6</v>
      </c>
      <c r="AX107" s="506">
        <f>AW107/AW$92</f>
        <v>0.06148864462650842</v>
      </c>
      <c r="AY107" s="512">
        <v>48355.38</v>
      </c>
      <c r="AZ107" s="506">
        <f>AY107/AY$92</f>
        <v>0.06646460193631147</v>
      </c>
      <c r="BA107" s="512">
        <v>1561.8</v>
      </c>
      <c r="BB107" s="506">
        <f>BA107/BA$92</f>
        <v>0.12892584906314544</v>
      </c>
      <c r="BC107" s="512">
        <f t="shared" si="79"/>
        <v>79089.78</v>
      </c>
      <c r="BD107" s="515">
        <f t="shared" si="75"/>
        <v>0.06514333467919887</v>
      </c>
      <c r="BE107" s="338"/>
      <c r="BF107" s="338"/>
      <c r="BG107" s="350"/>
    </row>
    <row r="108" spans="1:59" ht="11.25" customHeight="1">
      <c r="A108" s="422">
        <v>27000</v>
      </c>
      <c r="B108" s="423" t="s">
        <v>95</v>
      </c>
      <c r="C108" s="346"/>
      <c r="D108" s="454"/>
      <c r="E108" s="437"/>
      <c r="F108" s="448"/>
      <c r="G108" s="437">
        <v>191686.6</v>
      </c>
      <c r="H108" s="448">
        <f t="shared" si="67"/>
        <v>0.05455761320254472</v>
      </c>
      <c r="I108" s="346">
        <v>204262.56</v>
      </c>
      <c r="J108" s="451">
        <f t="shared" si="61"/>
        <v>0.04665971882784599</v>
      </c>
      <c r="K108" s="65"/>
      <c r="L108" s="474">
        <v>116.6</v>
      </c>
      <c r="M108" s="472">
        <v>187.4</v>
      </c>
      <c r="N108" s="473">
        <f t="shared" si="68"/>
        <v>572.6</v>
      </c>
      <c r="O108" s="448">
        <f t="shared" si="62"/>
        <v>0.05655141082239537</v>
      </c>
      <c r="P108" s="509"/>
      <c r="Q108" s="506"/>
      <c r="R108" s="512"/>
      <c r="S108" s="506"/>
      <c r="T108" s="512"/>
      <c r="U108" s="506"/>
      <c r="V108" s="517"/>
      <c r="W108" s="515"/>
      <c r="Y108" s="525">
        <v>671</v>
      </c>
      <c r="Z108" s="506">
        <f t="shared" si="63"/>
        <v>0.05372297838270616</v>
      </c>
      <c r="AA108" s="512">
        <v>358</v>
      </c>
      <c r="AB108" s="506">
        <f t="shared" si="64"/>
        <v>0.038765565782349756</v>
      </c>
      <c r="AC108" s="512">
        <v>94</v>
      </c>
      <c r="AD108" s="506">
        <f t="shared" si="65"/>
        <v>0.03551190026445032</v>
      </c>
      <c r="AE108" s="512">
        <f t="shared" si="76"/>
        <v>1123</v>
      </c>
      <c r="AF108" s="32">
        <f t="shared" si="69"/>
        <v>0.046077465944526504</v>
      </c>
      <c r="AG108" s="509"/>
      <c r="AH108" s="506">
        <f t="shared" si="66"/>
        <v>0</v>
      </c>
      <c r="AI108" s="512">
        <v>3</v>
      </c>
      <c r="AJ108" s="506">
        <f t="shared" si="70"/>
        <v>0.0012087026591458502</v>
      </c>
      <c r="AK108" s="512">
        <v>29</v>
      </c>
      <c r="AL108" s="506">
        <f t="shared" si="71"/>
        <v>0.12033195020746888</v>
      </c>
      <c r="AM108" s="512">
        <f t="shared" si="77"/>
        <v>32</v>
      </c>
      <c r="AN108" s="438">
        <f t="shared" si="72"/>
        <v>0.010778039744021556</v>
      </c>
      <c r="AO108" s="509">
        <v>12182.039999999999</v>
      </c>
      <c r="AP108" s="506">
        <f t="shared" si="73"/>
        <v>0.039506125115636594</v>
      </c>
      <c r="AQ108" s="512">
        <v>24760.8</v>
      </c>
      <c r="AR108" s="506">
        <f t="shared" si="73"/>
        <v>0.034793327147740534</v>
      </c>
      <c r="AS108" s="512">
        <v>3399.4799999999996</v>
      </c>
      <c r="AT108" s="506">
        <f>AS108/AS$92</f>
        <v>0.048968141063647004</v>
      </c>
      <c r="AU108" s="512">
        <f t="shared" si="78"/>
        <v>40342.31999999999</v>
      </c>
      <c r="AV108" s="438">
        <f t="shared" si="74"/>
        <v>0.03703052329253026</v>
      </c>
      <c r="AW108" s="509">
        <v>35164.439999999995</v>
      </c>
      <c r="AX108" s="506">
        <f>AW108/AW$92</f>
        <v>0.07411796530477836</v>
      </c>
      <c r="AY108" s="512">
        <v>6761.339999999999</v>
      </c>
      <c r="AZ108" s="506">
        <f>AY108/AY$92</f>
        <v>0.009293480304695366</v>
      </c>
      <c r="BA108" s="512">
        <v>1925.4599999999998</v>
      </c>
      <c r="BB108" s="506">
        <f>BA108/BA$92</f>
        <v>0.1589458095384326</v>
      </c>
      <c r="BC108" s="512">
        <f t="shared" si="79"/>
        <v>43851.23999999999</v>
      </c>
      <c r="BD108" s="515">
        <f t="shared" si="75"/>
        <v>0.03611864900139907</v>
      </c>
      <c r="BE108" s="338"/>
      <c r="BF108" s="338"/>
      <c r="BG108" s="350"/>
    </row>
    <row r="109" spans="1:59" ht="11.25" customHeight="1">
      <c r="A109" s="422">
        <v>28000</v>
      </c>
      <c r="B109" s="423" t="s">
        <v>96</v>
      </c>
      <c r="C109" s="346"/>
      <c r="D109" s="454"/>
      <c r="E109" s="437"/>
      <c r="F109" s="448"/>
      <c r="G109" s="437">
        <v>24326.87</v>
      </c>
      <c r="H109" s="448">
        <f t="shared" si="67"/>
        <v>0.006923884944949668</v>
      </c>
      <c r="I109" s="346">
        <v>46608.16</v>
      </c>
      <c r="J109" s="451">
        <f t="shared" si="61"/>
        <v>0.010646707065079664</v>
      </c>
      <c r="K109" s="65"/>
      <c r="L109" s="474">
        <v>44.6</v>
      </c>
      <c r="M109" s="472">
        <v>82.9</v>
      </c>
      <c r="N109" s="473">
        <f t="shared" si="68"/>
        <v>235.85000000000002</v>
      </c>
      <c r="O109" s="448">
        <f t="shared" si="62"/>
        <v>0.023293136993471793</v>
      </c>
      <c r="P109" s="509"/>
      <c r="Q109" s="506"/>
      <c r="R109" s="512"/>
      <c r="S109" s="506"/>
      <c r="T109" s="512"/>
      <c r="U109" s="506"/>
      <c r="V109" s="517"/>
      <c r="W109" s="515"/>
      <c r="Y109" s="525">
        <v>414</v>
      </c>
      <c r="Z109" s="506">
        <f t="shared" si="63"/>
        <v>0.033146517213771015</v>
      </c>
      <c r="AA109" s="512">
        <v>209</v>
      </c>
      <c r="AB109" s="506">
        <f t="shared" si="64"/>
        <v>0.022631293990254465</v>
      </c>
      <c r="AC109" s="512">
        <v>34</v>
      </c>
      <c r="AD109" s="506">
        <f t="shared" si="65"/>
        <v>0.012844729882886286</v>
      </c>
      <c r="AE109" s="512">
        <f t="shared" si="76"/>
        <v>657</v>
      </c>
      <c r="AF109" s="32">
        <f t="shared" si="69"/>
        <v>0.026957163958641065</v>
      </c>
      <c r="AG109" s="509">
        <v>21</v>
      </c>
      <c r="AH109" s="506">
        <f t="shared" si="66"/>
        <v>0.08536585365853659</v>
      </c>
      <c r="AI109" s="512">
        <v>11</v>
      </c>
      <c r="AJ109" s="506">
        <f t="shared" si="70"/>
        <v>0.004431909750201451</v>
      </c>
      <c r="AK109" s="512">
        <v>68</v>
      </c>
      <c r="AL109" s="506">
        <f t="shared" si="71"/>
        <v>0.2821576763485477</v>
      </c>
      <c r="AM109" s="512">
        <f t="shared" si="77"/>
        <v>100</v>
      </c>
      <c r="AN109" s="438">
        <f t="shared" si="72"/>
        <v>0.033681374200067365</v>
      </c>
      <c r="AO109" s="509">
        <v>12189</v>
      </c>
      <c r="AP109" s="506">
        <f t="shared" si="73"/>
        <v>0.03952869626388474</v>
      </c>
      <c r="AQ109" s="512">
        <v>12973.380000000001</v>
      </c>
      <c r="AR109" s="506">
        <f t="shared" si="73"/>
        <v>0.01822990592193928</v>
      </c>
      <c r="AS109" s="512">
        <v>184.62</v>
      </c>
      <c r="AT109" s="506">
        <f>AS109/AS$92</f>
        <v>0.0026593767879706637</v>
      </c>
      <c r="AU109" s="512">
        <f t="shared" si="78"/>
        <v>25347</v>
      </c>
      <c r="AV109" s="438">
        <f t="shared" si="74"/>
        <v>0.023266204667846686</v>
      </c>
      <c r="AW109" s="509">
        <v>10660.02</v>
      </c>
      <c r="AX109" s="506">
        <f>AW109/AW$92</f>
        <v>0.022468692591386175</v>
      </c>
      <c r="AY109" s="512">
        <v>1261.74</v>
      </c>
      <c r="AZ109" s="506">
        <f>AY109/AY$92</f>
        <v>0.0017342650775802328</v>
      </c>
      <c r="BA109" s="512">
        <v>0</v>
      </c>
      <c r="BB109" s="506">
        <f>BA109/BA$92</f>
        <v>0</v>
      </c>
      <c r="BC109" s="512">
        <f t="shared" si="79"/>
        <v>11921.76</v>
      </c>
      <c r="BD109" s="515">
        <f t="shared" si="75"/>
        <v>0.009819513995930776</v>
      </c>
      <c r="BE109" s="338"/>
      <c r="BF109" s="338"/>
      <c r="BG109" s="350"/>
    </row>
    <row r="110" spans="1:59" ht="11.25" customHeight="1">
      <c r="A110" s="422">
        <v>31000</v>
      </c>
      <c r="B110" s="423" t="s">
        <v>97</v>
      </c>
      <c r="C110" s="346"/>
      <c r="D110" s="454"/>
      <c r="E110" s="437"/>
      <c r="F110" s="448"/>
      <c r="G110" s="437">
        <v>56181.92</v>
      </c>
      <c r="H110" s="448">
        <f t="shared" si="67"/>
        <v>0.01599043157078435</v>
      </c>
      <c r="I110" s="346">
        <v>184742.71000000002</v>
      </c>
      <c r="J110" s="451">
        <f t="shared" si="61"/>
        <v>0.04220079736636167</v>
      </c>
      <c r="K110" s="65"/>
      <c r="L110" s="474">
        <v>74.7</v>
      </c>
      <c r="M110" s="472">
        <v>131.8</v>
      </c>
      <c r="N110" s="473">
        <f t="shared" si="68"/>
        <v>384.45000000000005</v>
      </c>
      <c r="O110" s="448">
        <f t="shared" si="62"/>
        <v>0.03796924535569316</v>
      </c>
      <c r="P110" s="509"/>
      <c r="Q110" s="506"/>
      <c r="R110" s="512"/>
      <c r="S110" s="506"/>
      <c r="T110" s="512"/>
      <c r="U110" s="506"/>
      <c r="V110" s="517"/>
      <c r="W110" s="515"/>
      <c r="Y110" s="525">
        <v>1976</v>
      </c>
      <c r="Z110" s="506">
        <f t="shared" si="63"/>
        <v>0.15820656525220175</v>
      </c>
      <c r="AA110" s="512">
        <v>938</v>
      </c>
      <c r="AB110" s="506">
        <f t="shared" si="64"/>
        <v>0.10157011369788847</v>
      </c>
      <c r="AC110" s="512">
        <v>79</v>
      </c>
      <c r="AD110" s="506">
        <f t="shared" si="65"/>
        <v>0.029845107669059314</v>
      </c>
      <c r="AE110" s="512">
        <f t="shared" si="76"/>
        <v>2993</v>
      </c>
      <c r="AF110" s="32">
        <f t="shared" si="69"/>
        <v>0.12280485803380929</v>
      </c>
      <c r="AG110" s="509"/>
      <c r="AH110" s="506">
        <f t="shared" si="66"/>
        <v>0</v>
      </c>
      <c r="AI110" s="512">
        <v>0</v>
      </c>
      <c r="AJ110" s="506">
        <f t="shared" si="70"/>
        <v>0</v>
      </c>
      <c r="AK110" s="512">
        <v>21</v>
      </c>
      <c r="AL110" s="506">
        <f t="shared" si="71"/>
        <v>0.08713692946058091</v>
      </c>
      <c r="AM110" s="512">
        <f t="shared" si="77"/>
        <v>21</v>
      </c>
      <c r="AN110" s="438">
        <f t="shared" si="72"/>
        <v>0.007073088582014146</v>
      </c>
      <c r="AO110" s="509">
        <v>1458.06</v>
      </c>
      <c r="AP110" s="506">
        <f t="shared" si="73"/>
        <v>0.004728460979122141</v>
      </c>
      <c r="AQ110" s="512">
        <v>53657.52</v>
      </c>
      <c r="AR110" s="506">
        <f t="shared" si="73"/>
        <v>0.07539835737522337</v>
      </c>
      <c r="AS110" s="512">
        <v>0</v>
      </c>
      <c r="AT110" s="506">
        <f>AS110/AS$92</f>
        <v>0</v>
      </c>
      <c r="AU110" s="512">
        <f t="shared" si="78"/>
        <v>55115.579999999994</v>
      </c>
      <c r="AV110" s="438">
        <f t="shared" si="74"/>
        <v>0.05059101134915679</v>
      </c>
      <c r="AW110" s="509">
        <v>6347.5199999999995</v>
      </c>
      <c r="AX110" s="506">
        <f>AW110/AW$92</f>
        <v>0.013379006380633015</v>
      </c>
      <c r="AY110" s="512">
        <v>56072.03999999999</v>
      </c>
      <c r="AZ110" s="506">
        <f>AY110/AY$92</f>
        <v>0.0770711721913246</v>
      </c>
      <c r="BA110" s="512">
        <v>0</v>
      </c>
      <c r="BB110" s="506">
        <f>BA110/BA$92</f>
        <v>0</v>
      </c>
      <c r="BC110" s="512">
        <f t="shared" si="79"/>
        <v>62419.55999999999</v>
      </c>
      <c r="BD110" s="515">
        <f t="shared" si="75"/>
        <v>0.05141268932102649</v>
      </c>
      <c r="BE110" s="338"/>
      <c r="BF110" s="338"/>
      <c r="BG110" s="350"/>
    </row>
    <row r="111" spans="1:59" ht="11.25" customHeight="1">
      <c r="A111" s="422">
        <v>41000</v>
      </c>
      <c r="B111" s="423" t="s">
        <v>98</v>
      </c>
      <c r="C111" s="346"/>
      <c r="D111" s="454"/>
      <c r="E111" s="437"/>
      <c r="F111" s="448"/>
      <c r="G111" s="437">
        <v>85973.42000000001</v>
      </c>
      <c r="H111" s="448">
        <f t="shared" si="67"/>
        <v>0.024469653038135804</v>
      </c>
      <c r="I111" s="346">
        <v>138672.25</v>
      </c>
      <c r="J111" s="451">
        <f t="shared" si="61"/>
        <v>0.031676917170845045</v>
      </c>
      <c r="K111" s="65"/>
      <c r="L111" s="474">
        <v>61.6</v>
      </c>
      <c r="M111" s="472">
        <v>102.1</v>
      </c>
      <c r="N111" s="473">
        <f t="shared" si="68"/>
        <v>307.15</v>
      </c>
      <c r="O111" s="448">
        <f t="shared" si="62"/>
        <v>0.030334903657175578</v>
      </c>
      <c r="P111" s="509"/>
      <c r="Q111" s="506"/>
      <c r="R111" s="512"/>
      <c r="S111" s="506"/>
      <c r="T111" s="512"/>
      <c r="U111" s="506"/>
      <c r="V111" s="517"/>
      <c r="W111" s="515"/>
      <c r="Y111" s="525">
        <v>427</v>
      </c>
      <c r="Z111" s="506">
        <f t="shared" si="63"/>
        <v>0.034187349879903926</v>
      </c>
      <c r="AA111" s="512">
        <v>145</v>
      </c>
      <c r="AB111" s="506">
        <f t="shared" si="64"/>
        <v>0.01570113697888468</v>
      </c>
      <c r="AC111" s="512">
        <v>66</v>
      </c>
      <c r="AD111" s="506">
        <f t="shared" si="65"/>
        <v>0.024933887419720437</v>
      </c>
      <c r="AE111" s="512">
        <f t="shared" si="76"/>
        <v>638</v>
      </c>
      <c r="AF111" s="32">
        <f t="shared" si="69"/>
        <v>0.026177580830461185</v>
      </c>
      <c r="AG111" s="509">
        <v>5</v>
      </c>
      <c r="AH111" s="506">
        <f t="shared" si="66"/>
        <v>0.02032520325203252</v>
      </c>
      <c r="AI111" s="512">
        <v>1</v>
      </c>
      <c r="AJ111" s="506">
        <f t="shared" si="70"/>
        <v>0.00040290088638195</v>
      </c>
      <c r="AK111" s="512">
        <v>9</v>
      </c>
      <c r="AL111" s="506">
        <f t="shared" si="71"/>
        <v>0.03734439834024896</v>
      </c>
      <c r="AM111" s="512">
        <f t="shared" si="77"/>
        <v>15</v>
      </c>
      <c r="AN111" s="438">
        <f t="shared" si="72"/>
        <v>0.005052206130010104</v>
      </c>
      <c r="AO111" s="509">
        <v>7049</v>
      </c>
      <c r="AP111" s="506">
        <f t="shared" si="73"/>
        <v>0.02285977356338695</v>
      </c>
      <c r="AQ111" s="512">
        <v>47958</v>
      </c>
      <c r="AR111" s="506">
        <f t="shared" si="73"/>
        <v>0.06738951824461813</v>
      </c>
      <c r="AS111" s="512">
        <v>1</v>
      </c>
      <c r="AT111" s="506">
        <f>AS111/AS$92</f>
        <v>1.4404597486570597E-05</v>
      </c>
      <c r="AU111" s="512">
        <f t="shared" si="78"/>
        <v>55008</v>
      </c>
      <c r="AV111" s="438">
        <f t="shared" si="74"/>
        <v>0.05049226284644772</v>
      </c>
      <c r="AW111" s="509">
        <v>352</v>
      </c>
      <c r="AX111" s="506">
        <f>AW111/AW$92</f>
        <v>0.0007419291701298809</v>
      </c>
      <c r="AY111" s="512">
        <v>45020</v>
      </c>
      <c r="AZ111" s="506">
        <f>AY111/AY$92</f>
        <v>0.061880113012714254</v>
      </c>
      <c r="BA111" s="512">
        <v>1280</v>
      </c>
      <c r="BB111" s="506">
        <f>BA111/BA$92</f>
        <v>0.10566339275248186</v>
      </c>
      <c r="BC111" s="512">
        <f t="shared" si="79"/>
        <v>46652</v>
      </c>
      <c r="BD111" s="515">
        <f t="shared" si="75"/>
        <v>0.03842553171160656</v>
      </c>
      <c r="BE111" s="338"/>
      <c r="BF111" s="338"/>
      <c r="BG111" s="350"/>
    </row>
    <row r="112" spans="1:59" ht="11.25" customHeight="1">
      <c r="A112" s="422">
        <v>43000</v>
      </c>
      <c r="B112" s="423" t="s">
        <v>99</v>
      </c>
      <c r="C112" s="346"/>
      <c r="D112" s="454"/>
      <c r="E112" s="437"/>
      <c r="F112" s="448"/>
      <c r="G112" s="437">
        <v>114498.38</v>
      </c>
      <c r="H112" s="448">
        <f t="shared" si="67"/>
        <v>0.032588393389824756</v>
      </c>
      <c r="I112" s="346">
        <v>133610.21000000002</v>
      </c>
      <c r="J112" s="451">
        <f t="shared" si="61"/>
        <v>0.030520594822318187</v>
      </c>
      <c r="K112" s="65"/>
      <c r="L112" s="474">
        <v>55.5</v>
      </c>
      <c r="M112" s="472">
        <v>103</v>
      </c>
      <c r="N112" s="473">
        <f t="shared" si="68"/>
        <v>293.25</v>
      </c>
      <c r="O112" s="448">
        <f t="shared" si="62"/>
        <v>0.02896210482652365</v>
      </c>
      <c r="P112" s="509"/>
      <c r="Q112" s="506"/>
      <c r="R112" s="512"/>
      <c r="S112" s="506"/>
      <c r="T112" s="512"/>
      <c r="U112" s="506"/>
      <c r="V112" s="517"/>
      <c r="W112" s="515"/>
      <c r="Y112" s="525">
        <v>238</v>
      </c>
      <c r="Z112" s="506">
        <f t="shared" si="63"/>
        <v>0.019055244195356286</v>
      </c>
      <c r="AA112" s="512">
        <v>94</v>
      </c>
      <c r="AB112" s="506">
        <f t="shared" si="64"/>
        <v>0.010178668110449377</v>
      </c>
      <c r="AC112" s="512">
        <v>31</v>
      </c>
      <c r="AD112" s="506">
        <f t="shared" si="65"/>
        <v>0.011711371363808084</v>
      </c>
      <c r="AE112" s="512">
        <f t="shared" si="76"/>
        <v>363</v>
      </c>
      <c r="AF112" s="32">
        <f t="shared" si="69"/>
        <v>0.014894140817331364</v>
      </c>
      <c r="AG112" s="509">
        <v>11</v>
      </c>
      <c r="AH112" s="506">
        <f t="shared" si="66"/>
        <v>0.044715447154471545</v>
      </c>
      <c r="AI112" s="512">
        <v>10</v>
      </c>
      <c r="AJ112" s="506">
        <f t="shared" si="70"/>
        <v>0.0040290088638195</v>
      </c>
      <c r="AK112" s="512">
        <v>30</v>
      </c>
      <c r="AL112" s="506">
        <f t="shared" si="71"/>
        <v>0.12448132780082988</v>
      </c>
      <c r="AM112" s="512">
        <f t="shared" si="77"/>
        <v>51</v>
      </c>
      <c r="AN112" s="438">
        <f t="shared" si="72"/>
        <v>0.017177500842034354</v>
      </c>
      <c r="AO112" s="509">
        <v>6251</v>
      </c>
      <c r="AP112" s="506">
        <f t="shared" si="73"/>
        <v>0.020271874669418617</v>
      </c>
      <c r="AQ112" s="512">
        <v>24241</v>
      </c>
      <c r="AR112" s="506">
        <f t="shared" si="73"/>
        <v>0.03406291571307786</v>
      </c>
      <c r="AS112" s="512">
        <v>2779</v>
      </c>
      <c r="AT112" s="506">
        <f>AS112/AS$92</f>
        <v>0.04003037641517969</v>
      </c>
      <c r="AU112" s="512">
        <f t="shared" si="78"/>
        <v>33271</v>
      </c>
      <c r="AV112" s="438">
        <f t="shared" si="74"/>
        <v>0.030539704718662054</v>
      </c>
      <c r="AW112" s="509">
        <v>5431</v>
      </c>
      <c r="AX112" s="506">
        <f>AW112/AW$92</f>
        <v>0.011447208303907339</v>
      </c>
      <c r="AY112" s="512">
        <v>17534</v>
      </c>
      <c r="AZ112" s="506">
        <f>AY112/AY$92</f>
        <v>0.024100530909927403</v>
      </c>
      <c r="BA112" s="512">
        <v>426</v>
      </c>
      <c r="BB112" s="506">
        <f>BA112/BA$92</f>
        <v>0.03516609790043537</v>
      </c>
      <c r="BC112" s="512">
        <f t="shared" si="79"/>
        <v>23391</v>
      </c>
      <c r="BD112" s="515">
        <f t="shared" si="75"/>
        <v>0.019266303958376682</v>
      </c>
      <c r="BE112" s="338"/>
      <c r="BF112" s="338"/>
      <c r="BG112" s="350"/>
    </row>
    <row r="113" spans="1:59" ht="11.25" customHeight="1">
      <c r="A113" s="422">
        <v>51000</v>
      </c>
      <c r="B113" s="423" t="s">
        <v>100</v>
      </c>
      <c r="C113" s="346"/>
      <c r="D113" s="454"/>
      <c r="E113" s="437"/>
      <c r="F113" s="448"/>
      <c r="G113" s="437">
        <v>23102.72</v>
      </c>
      <c r="H113" s="448">
        <f t="shared" si="67"/>
        <v>0.006575468820912333</v>
      </c>
      <c r="I113" s="346">
        <v>12593.29</v>
      </c>
      <c r="J113" s="451">
        <f t="shared" si="61"/>
        <v>0.0028766866062851885</v>
      </c>
      <c r="K113" s="65"/>
      <c r="L113" s="474">
        <v>63.2</v>
      </c>
      <c r="M113" s="472">
        <v>63.9</v>
      </c>
      <c r="N113" s="473">
        <f t="shared" si="68"/>
        <v>253.85</v>
      </c>
      <c r="O113" s="448">
        <f t="shared" si="62"/>
        <v>0.025070862097913142</v>
      </c>
      <c r="P113" s="509"/>
      <c r="Q113" s="506"/>
      <c r="R113" s="512"/>
      <c r="S113" s="506"/>
      <c r="T113" s="512"/>
      <c r="U113" s="506"/>
      <c r="V113" s="517"/>
      <c r="W113" s="515"/>
      <c r="Y113" s="525">
        <v>61</v>
      </c>
      <c r="Z113" s="506">
        <f t="shared" si="63"/>
        <v>0.00488390712570056</v>
      </c>
      <c r="AA113" s="512">
        <v>84</v>
      </c>
      <c r="AB113" s="506">
        <f t="shared" si="64"/>
        <v>0.009095831077422848</v>
      </c>
      <c r="AC113" s="512">
        <v>21</v>
      </c>
      <c r="AD113" s="506">
        <f t="shared" si="65"/>
        <v>0.007933509633547412</v>
      </c>
      <c r="AE113" s="512">
        <f t="shared" si="76"/>
        <v>166</v>
      </c>
      <c r="AF113" s="32">
        <f t="shared" si="69"/>
        <v>0.006811094698834728</v>
      </c>
      <c r="AG113" s="509">
        <v>13</v>
      </c>
      <c r="AH113" s="506">
        <f t="shared" si="66"/>
        <v>0.052845528455284556</v>
      </c>
      <c r="AI113" s="512">
        <v>8</v>
      </c>
      <c r="AJ113" s="506">
        <f t="shared" si="70"/>
        <v>0.0032232070910556</v>
      </c>
      <c r="AK113" s="512"/>
      <c r="AL113" s="506">
        <f t="shared" si="71"/>
        <v>0</v>
      </c>
      <c r="AM113" s="512">
        <f t="shared" si="77"/>
        <v>21</v>
      </c>
      <c r="AN113" s="438">
        <f t="shared" si="72"/>
        <v>0.007073088582014146</v>
      </c>
      <c r="AO113" s="509">
        <v>2750.94</v>
      </c>
      <c r="AP113" s="506">
        <f t="shared" si="73"/>
        <v>0.00892124634507926</v>
      </c>
      <c r="AQ113" s="512">
        <v>4665.4800000000005</v>
      </c>
      <c r="AR113" s="506">
        <f t="shared" si="73"/>
        <v>0.0065558290500000215</v>
      </c>
      <c r="AS113" s="512">
        <v>0</v>
      </c>
      <c r="AT113" s="506">
        <f>AS113/AS$92</f>
        <v>0</v>
      </c>
      <c r="AU113" s="512">
        <f t="shared" si="78"/>
        <v>7416.42</v>
      </c>
      <c r="AV113" s="438">
        <f t="shared" si="74"/>
        <v>0.006807588496575986</v>
      </c>
      <c r="AW113" s="509">
        <v>8564.94</v>
      </c>
      <c r="AX113" s="506">
        <f>AW113/AW$92</f>
        <v>0.018052780756852904</v>
      </c>
      <c r="AY113" s="512">
        <v>5383.56</v>
      </c>
      <c r="AZ113" s="506">
        <f>AY113/AY$92</f>
        <v>0.007399717930047268</v>
      </c>
      <c r="BA113" s="512">
        <v>0</v>
      </c>
      <c r="BB113" s="506">
        <f>BA113/BA$92</f>
        <v>0</v>
      </c>
      <c r="BC113" s="512">
        <f t="shared" si="79"/>
        <v>13948.5</v>
      </c>
      <c r="BD113" s="515">
        <f t="shared" si="75"/>
        <v>0.011488864980694161</v>
      </c>
      <c r="BE113" s="338"/>
      <c r="BF113" s="338"/>
      <c r="BG113" s="350"/>
    </row>
    <row r="114" spans="1:59" ht="11.25" customHeight="1">
      <c r="A114" s="422">
        <v>52000</v>
      </c>
      <c r="B114" s="423" t="s">
        <v>101</v>
      </c>
      <c r="C114" s="346"/>
      <c r="D114" s="454"/>
      <c r="E114" s="437"/>
      <c r="F114" s="448"/>
      <c r="G114" s="437">
        <v>7180.799999999999</v>
      </c>
      <c r="H114" s="448">
        <f t="shared" si="67"/>
        <v>0.002043790796460645</v>
      </c>
      <c r="I114" s="346">
        <v>3353.9300000000003</v>
      </c>
      <c r="J114" s="451">
        <f t="shared" si="61"/>
        <v>0.0007661385951898259</v>
      </c>
      <c r="K114" s="65"/>
      <c r="L114" s="474">
        <v>13.3</v>
      </c>
      <c r="M114" s="472">
        <v>7.3</v>
      </c>
      <c r="N114" s="473">
        <f>L114*2.5+M114*1.5</f>
        <v>44.2</v>
      </c>
      <c r="O114" s="448">
        <f t="shared" si="62"/>
        <v>0.004365302756461536</v>
      </c>
      <c r="P114" s="509"/>
      <c r="Q114" s="506"/>
      <c r="R114" s="512"/>
      <c r="S114" s="506"/>
      <c r="T114" s="512"/>
      <c r="U114" s="506"/>
      <c r="V114" s="517"/>
      <c r="W114" s="515"/>
      <c r="Y114" s="525"/>
      <c r="Z114" s="506">
        <f t="shared" si="63"/>
        <v>0</v>
      </c>
      <c r="AA114" s="512">
        <v>27</v>
      </c>
      <c r="AB114" s="506">
        <f t="shared" si="64"/>
        <v>0.0029236599891716295</v>
      </c>
      <c r="AC114" s="512">
        <v>3</v>
      </c>
      <c r="AD114" s="506">
        <f t="shared" si="65"/>
        <v>0.0011333585190782018</v>
      </c>
      <c r="AE114" s="512">
        <f t="shared" si="76"/>
        <v>30</v>
      </c>
      <c r="AF114" s="32">
        <f t="shared" si="69"/>
        <v>0.0012309207287050715</v>
      </c>
      <c r="AG114" s="509"/>
      <c r="AH114" s="506">
        <f t="shared" si="66"/>
        <v>0</v>
      </c>
      <c r="AI114" s="512">
        <v>0</v>
      </c>
      <c r="AJ114" s="506">
        <f t="shared" si="70"/>
        <v>0</v>
      </c>
      <c r="AK114" s="512"/>
      <c r="AL114" s="506">
        <f t="shared" si="71"/>
        <v>0</v>
      </c>
      <c r="AM114" s="512">
        <f t="shared" si="77"/>
        <v>0</v>
      </c>
      <c r="AN114" s="438">
        <f t="shared" si="72"/>
        <v>0</v>
      </c>
      <c r="AO114" s="509">
        <v>0</v>
      </c>
      <c r="AP114" s="506">
        <f t="shared" si="73"/>
        <v>0</v>
      </c>
      <c r="AQ114" s="512">
        <v>3190</v>
      </c>
      <c r="AR114" s="506">
        <f t="shared" si="73"/>
        <v>0.0044825172692842035</v>
      </c>
      <c r="AS114" s="512">
        <v>0</v>
      </c>
      <c r="AT114" s="506">
        <f>AS114/AS$92</f>
        <v>0</v>
      </c>
      <c r="AU114" s="512">
        <f t="shared" si="78"/>
        <v>3190</v>
      </c>
      <c r="AV114" s="438">
        <f t="shared" si="74"/>
        <v>0.0029281253359541926</v>
      </c>
      <c r="AW114" s="509">
        <v>0</v>
      </c>
      <c r="AX114" s="506">
        <f>AW114/AW$92</f>
        <v>0</v>
      </c>
      <c r="AY114" s="512">
        <v>4455</v>
      </c>
      <c r="AZ114" s="506">
        <f>AY114/AY$92</f>
        <v>0.006123409672848556</v>
      </c>
      <c r="BA114" s="512">
        <v>0</v>
      </c>
      <c r="BB114" s="506">
        <f>BA114/BA$92</f>
        <v>0</v>
      </c>
      <c r="BC114" s="512">
        <f t="shared" si="79"/>
        <v>4455</v>
      </c>
      <c r="BD114" s="515">
        <f t="shared" si="75"/>
        <v>0.0036694191840694335</v>
      </c>
      <c r="BE114" s="338"/>
      <c r="BF114" s="338"/>
      <c r="BG114" s="350"/>
    </row>
    <row r="115" spans="1:59" ht="11.25" customHeight="1">
      <c r="A115" s="422">
        <v>53000</v>
      </c>
      <c r="B115" s="423" t="s">
        <v>102</v>
      </c>
      <c r="C115" s="346"/>
      <c r="D115" s="454"/>
      <c r="E115" s="437"/>
      <c r="F115" s="448"/>
      <c r="G115" s="437">
        <v>3244</v>
      </c>
      <c r="H115" s="448">
        <f t="shared" si="67"/>
        <v>0.00092330344024598</v>
      </c>
      <c r="I115" s="346">
        <v>10029.529999999999</v>
      </c>
      <c r="J115" s="451">
        <f t="shared" si="61"/>
        <v>0.0022910466302559127</v>
      </c>
      <c r="K115" s="65"/>
      <c r="L115" s="474">
        <v>6.6</v>
      </c>
      <c r="M115" s="472">
        <v>10</v>
      </c>
      <c r="N115" s="473">
        <f t="shared" si="68"/>
        <v>31.5</v>
      </c>
      <c r="O115" s="448">
        <f t="shared" si="62"/>
        <v>0.003111018932772361</v>
      </c>
      <c r="P115" s="509"/>
      <c r="Q115" s="506"/>
      <c r="R115" s="512"/>
      <c r="S115" s="506"/>
      <c r="T115" s="512"/>
      <c r="U115" s="506"/>
      <c r="V115" s="517"/>
      <c r="W115" s="515"/>
      <c r="Y115" s="525">
        <v>4</v>
      </c>
      <c r="Z115" s="506">
        <f t="shared" si="63"/>
        <v>0.0003202562049639712</v>
      </c>
      <c r="AA115" s="512">
        <v>33</v>
      </c>
      <c r="AB115" s="506">
        <f t="shared" si="64"/>
        <v>0.0035733622089875474</v>
      </c>
      <c r="AC115" s="512">
        <v>2</v>
      </c>
      <c r="AD115" s="506">
        <f t="shared" si="65"/>
        <v>0.0007555723460521345</v>
      </c>
      <c r="AE115" s="512">
        <f t="shared" si="76"/>
        <v>39</v>
      </c>
      <c r="AF115" s="32">
        <f t="shared" si="69"/>
        <v>0.001600196947316593</v>
      </c>
      <c r="AG115" s="509"/>
      <c r="AH115" s="506">
        <f t="shared" si="66"/>
        <v>0</v>
      </c>
      <c r="AI115" s="512">
        <v>15</v>
      </c>
      <c r="AJ115" s="506">
        <f t="shared" si="70"/>
        <v>0.0060435132957292505</v>
      </c>
      <c r="AK115" s="512"/>
      <c r="AL115" s="506">
        <f t="shared" si="71"/>
        <v>0</v>
      </c>
      <c r="AM115" s="512">
        <f t="shared" si="77"/>
        <v>15</v>
      </c>
      <c r="AN115" s="438">
        <f t="shared" si="72"/>
        <v>0.005052206130010104</v>
      </c>
      <c r="AO115" s="509">
        <v>0</v>
      </c>
      <c r="AP115" s="506">
        <f t="shared" si="73"/>
        <v>0</v>
      </c>
      <c r="AQ115" s="512">
        <v>2086</v>
      </c>
      <c r="AR115" s="506">
        <f t="shared" si="73"/>
        <v>0.002931200947876755</v>
      </c>
      <c r="AS115" s="512">
        <v>0</v>
      </c>
      <c r="AT115" s="506">
        <f>AS115/AS$92</f>
        <v>0</v>
      </c>
      <c r="AU115" s="512">
        <f t="shared" si="78"/>
        <v>2086</v>
      </c>
      <c r="AV115" s="438">
        <f t="shared" si="74"/>
        <v>0.0019147553137305474</v>
      </c>
      <c r="AW115" s="509">
        <v>0</v>
      </c>
      <c r="AX115" s="506">
        <f>AW115/AW$92</f>
        <v>0</v>
      </c>
      <c r="AY115" s="512">
        <v>7082</v>
      </c>
      <c r="AZ115" s="506">
        <f>AY115/AY$92</f>
        <v>0.009734228350867222</v>
      </c>
      <c r="BA115" s="512">
        <v>0</v>
      </c>
      <c r="BB115" s="506">
        <f>BA115/BA$92</f>
        <v>0</v>
      </c>
      <c r="BC115" s="512">
        <f t="shared" si="79"/>
        <v>7082</v>
      </c>
      <c r="BD115" s="515">
        <f t="shared" si="75"/>
        <v>0.005833182191151453</v>
      </c>
      <c r="BE115" s="338"/>
      <c r="BF115" s="338"/>
      <c r="BG115" s="350"/>
    </row>
    <row r="116" spans="1:59" ht="11.25" customHeight="1">
      <c r="A116" s="422">
        <v>54000</v>
      </c>
      <c r="B116" s="423" t="s">
        <v>103</v>
      </c>
      <c r="C116" s="346"/>
      <c r="D116" s="454"/>
      <c r="E116" s="437"/>
      <c r="F116" s="448"/>
      <c r="G116" s="437">
        <v>1216.86</v>
      </c>
      <c r="H116" s="448">
        <f t="shared" si="67"/>
        <v>0.0003463412528661292</v>
      </c>
      <c r="I116" s="346">
        <v>7796.380000000001</v>
      </c>
      <c r="J116" s="451">
        <f t="shared" si="61"/>
        <v>0.0017809279325346847</v>
      </c>
      <c r="K116" s="65"/>
      <c r="L116" s="474">
        <v>21.3</v>
      </c>
      <c r="M116" s="472">
        <v>34.8</v>
      </c>
      <c r="N116" s="473">
        <f t="shared" si="68"/>
        <v>105.44999999999999</v>
      </c>
      <c r="O116" s="448">
        <f t="shared" si="62"/>
        <v>0.010414506236852238</v>
      </c>
      <c r="P116" s="509"/>
      <c r="Q116" s="506"/>
      <c r="R116" s="512"/>
      <c r="S116" s="506"/>
      <c r="T116" s="512"/>
      <c r="U116" s="506"/>
      <c r="V116" s="517"/>
      <c r="W116" s="515"/>
      <c r="Y116" s="525">
        <v>41</v>
      </c>
      <c r="Z116" s="506">
        <f t="shared" si="63"/>
        <v>0.0032826261008807047</v>
      </c>
      <c r="AA116" s="512">
        <v>46</v>
      </c>
      <c r="AB116" s="506">
        <f t="shared" si="64"/>
        <v>0.004981050351922036</v>
      </c>
      <c r="AC116" s="512">
        <v>14</v>
      </c>
      <c r="AD116" s="506">
        <f t="shared" si="65"/>
        <v>0.005289006422364941</v>
      </c>
      <c r="AE116" s="512">
        <f t="shared" si="76"/>
        <v>101</v>
      </c>
      <c r="AF116" s="32">
        <f t="shared" si="69"/>
        <v>0.004144099786640407</v>
      </c>
      <c r="AG116" s="509"/>
      <c r="AH116" s="506">
        <f t="shared" si="66"/>
        <v>0</v>
      </c>
      <c r="AI116" s="512">
        <v>0</v>
      </c>
      <c r="AJ116" s="506">
        <f t="shared" si="70"/>
        <v>0</v>
      </c>
      <c r="AK116" s="512"/>
      <c r="AL116" s="506">
        <f t="shared" si="71"/>
        <v>0</v>
      </c>
      <c r="AM116" s="512">
        <f t="shared" si="77"/>
        <v>0</v>
      </c>
      <c r="AN116" s="438">
        <f t="shared" si="72"/>
        <v>0</v>
      </c>
      <c r="AO116" s="509">
        <v>2404.14</v>
      </c>
      <c r="AP116" s="506">
        <f t="shared" si="73"/>
        <v>0.007796580509956178</v>
      </c>
      <c r="AQ116" s="512">
        <v>4349.28</v>
      </c>
      <c r="AR116" s="506">
        <f t="shared" si="73"/>
        <v>0.006111511820988213</v>
      </c>
      <c r="AS116" s="512">
        <v>1358.64</v>
      </c>
      <c r="AT116" s="506">
        <f>AS116/AS$92</f>
        <v>0.019570662329154276</v>
      </c>
      <c r="AU116" s="512">
        <f t="shared" si="78"/>
        <v>8112.06</v>
      </c>
      <c r="AV116" s="438">
        <f t="shared" si="74"/>
        <v>0.007446121759492341</v>
      </c>
      <c r="AW116" s="509">
        <v>2234.82</v>
      </c>
      <c r="AX116" s="506">
        <f>AW116/AW$92</f>
        <v>0.004710449284061536</v>
      </c>
      <c r="AY116" s="512">
        <v>501.84000000000003</v>
      </c>
      <c r="AZ116" s="506">
        <f>AY116/AY$92</f>
        <v>0.0006897804512283546</v>
      </c>
      <c r="BA116" s="512">
        <v>0</v>
      </c>
      <c r="BB116" s="506">
        <f>BA116/BA$92</f>
        <v>0</v>
      </c>
      <c r="BC116" s="512">
        <f t="shared" si="79"/>
        <v>2736.6600000000003</v>
      </c>
      <c r="BD116" s="515">
        <f t="shared" si="75"/>
        <v>0.002254085904438935</v>
      </c>
      <c r="BE116" s="338"/>
      <c r="BF116" s="338"/>
      <c r="BG116" s="350"/>
    </row>
    <row r="117" spans="1:58" ht="11.25" customHeight="1">
      <c r="A117" s="422">
        <v>55000</v>
      </c>
      <c r="B117" s="423" t="s">
        <v>104</v>
      </c>
      <c r="C117" s="346"/>
      <c r="D117" s="454"/>
      <c r="E117" s="437"/>
      <c r="F117" s="448"/>
      <c r="G117" s="437">
        <v>272.85</v>
      </c>
      <c r="H117" s="448">
        <f t="shared" si="67"/>
        <v>7.765824404165095E-05</v>
      </c>
      <c r="I117" s="346">
        <v>12430.410000000002</v>
      </c>
      <c r="J117" s="451">
        <f t="shared" si="61"/>
        <v>0.0028394799101452814</v>
      </c>
      <c r="K117" s="65"/>
      <c r="L117" s="474">
        <v>4</v>
      </c>
      <c r="M117" s="472">
        <v>7.9</v>
      </c>
      <c r="N117" s="473">
        <f t="shared" si="68"/>
        <v>21.85</v>
      </c>
      <c r="O117" s="448">
        <f t="shared" si="62"/>
        <v>0.0021579607517801937</v>
      </c>
      <c r="P117" s="509"/>
      <c r="Q117" s="506"/>
      <c r="R117" s="512"/>
      <c r="S117" s="506"/>
      <c r="T117" s="512"/>
      <c r="U117" s="506"/>
      <c r="V117" s="517"/>
      <c r="W117" s="515"/>
      <c r="Y117" s="525">
        <v>23</v>
      </c>
      <c r="Z117" s="506">
        <f t="shared" si="63"/>
        <v>0.0018414731785428343</v>
      </c>
      <c r="AA117" s="512">
        <v>0</v>
      </c>
      <c r="AB117" s="506">
        <f t="shared" si="64"/>
        <v>0</v>
      </c>
      <c r="AC117" s="512"/>
      <c r="AD117" s="506">
        <f t="shared" si="65"/>
        <v>0</v>
      </c>
      <c r="AE117" s="512">
        <f t="shared" si="76"/>
        <v>23</v>
      </c>
      <c r="AF117" s="32">
        <f t="shared" si="69"/>
        <v>0.0009437058920072214</v>
      </c>
      <c r="AG117" s="509"/>
      <c r="AH117" s="506">
        <f t="shared" si="66"/>
        <v>0</v>
      </c>
      <c r="AI117" s="512">
        <v>0</v>
      </c>
      <c r="AJ117" s="506">
        <f t="shared" si="70"/>
        <v>0</v>
      </c>
      <c r="AK117" s="512"/>
      <c r="AL117" s="506">
        <f t="shared" si="71"/>
        <v>0</v>
      </c>
      <c r="AM117" s="512">
        <f t="shared" si="77"/>
        <v>0</v>
      </c>
      <c r="AN117" s="438">
        <f t="shared" si="72"/>
        <v>0</v>
      </c>
      <c r="AO117" s="509">
        <v>7592</v>
      </c>
      <c r="AP117" s="506">
        <f t="shared" si="73"/>
        <v>0.024620712284470665</v>
      </c>
      <c r="AQ117" s="512">
        <v>0</v>
      </c>
      <c r="AR117" s="506">
        <f t="shared" si="73"/>
        <v>0</v>
      </c>
      <c r="AS117" s="512">
        <v>0</v>
      </c>
      <c r="AT117" s="506">
        <f>AS117/AS$92</f>
        <v>0</v>
      </c>
      <c r="AU117" s="512">
        <f t="shared" si="78"/>
        <v>7592</v>
      </c>
      <c r="AV117" s="438">
        <f t="shared" si="74"/>
        <v>0.006968754718045213</v>
      </c>
      <c r="AW117" s="509">
        <v>884</v>
      </c>
      <c r="AX117" s="506">
        <f>AW117/AW$92</f>
        <v>0.0018632539386216327</v>
      </c>
      <c r="AY117" s="512">
        <v>0</v>
      </c>
      <c r="AZ117" s="506">
        <f>AY117/AY$92</f>
        <v>0</v>
      </c>
      <c r="BA117" s="512">
        <v>0</v>
      </c>
      <c r="BB117" s="506">
        <f>BA117/BA$92</f>
        <v>0</v>
      </c>
      <c r="BC117" s="512">
        <f t="shared" si="79"/>
        <v>884</v>
      </c>
      <c r="BD117" s="515">
        <f t="shared" si="75"/>
        <v>0.0007281181949982894</v>
      </c>
      <c r="BE117" s="338"/>
      <c r="BF117" s="338"/>
    </row>
    <row r="118" spans="1:58" ht="11.25" customHeight="1" thickBot="1">
      <c r="A118" s="468">
        <v>56000</v>
      </c>
      <c r="B118" s="469" t="s">
        <v>105</v>
      </c>
      <c r="C118" s="441"/>
      <c r="D118" s="455"/>
      <c r="E118" s="439"/>
      <c r="F118" s="449"/>
      <c r="G118" s="439">
        <v>0</v>
      </c>
      <c r="H118" s="449">
        <f t="shared" si="67"/>
        <v>0</v>
      </c>
      <c r="I118" s="441">
        <v>6467.3099999999995</v>
      </c>
      <c r="J118" s="452">
        <f t="shared" si="61"/>
        <v>0.0014773283276803965</v>
      </c>
      <c r="K118" s="65"/>
      <c r="L118" s="475">
        <v>3.3</v>
      </c>
      <c r="M118" s="476">
        <v>3.5</v>
      </c>
      <c r="N118" s="477">
        <f t="shared" si="68"/>
        <v>13.5</v>
      </c>
      <c r="O118" s="449">
        <f t="shared" si="62"/>
        <v>0.001333293828331012</v>
      </c>
      <c r="P118" s="510"/>
      <c r="Q118" s="507"/>
      <c r="R118" s="513"/>
      <c r="S118" s="507"/>
      <c r="T118" s="513"/>
      <c r="U118" s="507"/>
      <c r="V118" s="518"/>
      <c r="W118" s="516"/>
      <c r="Y118" s="527">
        <v>9</v>
      </c>
      <c r="Z118" s="520">
        <f t="shared" si="63"/>
        <v>0.0007205764611689352</v>
      </c>
      <c r="AA118" s="521">
        <v>0</v>
      </c>
      <c r="AB118" s="520">
        <f t="shared" si="64"/>
        <v>0</v>
      </c>
      <c r="AC118" s="521"/>
      <c r="AD118" s="520">
        <f t="shared" si="65"/>
        <v>0</v>
      </c>
      <c r="AE118" s="521">
        <f t="shared" si="76"/>
        <v>9</v>
      </c>
      <c r="AF118" s="529">
        <f t="shared" si="69"/>
        <v>0.00036927621861152144</v>
      </c>
      <c r="AG118" s="519"/>
      <c r="AH118" s="520">
        <f t="shared" si="66"/>
        <v>0</v>
      </c>
      <c r="AI118" s="521">
        <v>0</v>
      </c>
      <c r="AJ118" s="520">
        <f t="shared" si="70"/>
        <v>0</v>
      </c>
      <c r="AK118" s="521"/>
      <c r="AL118" s="520">
        <f t="shared" si="71"/>
        <v>0</v>
      </c>
      <c r="AM118" s="521">
        <f t="shared" si="77"/>
        <v>0</v>
      </c>
      <c r="AN118" s="528">
        <f t="shared" si="72"/>
        <v>0</v>
      </c>
      <c r="AO118" s="519">
        <v>0</v>
      </c>
      <c r="AP118" s="520">
        <f t="shared" si="73"/>
        <v>0</v>
      </c>
      <c r="AQ118" s="521">
        <v>0</v>
      </c>
      <c r="AR118" s="520">
        <f t="shared" si="73"/>
        <v>0</v>
      </c>
      <c r="AS118" s="521">
        <v>0</v>
      </c>
      <c r="AT118" s="520">
        <f>AS118/AS$92</f>
        <v>0</v>
      </c>
      <c r="AU118" s="521">
        <f t="shared" si="78"/>
        <v>0</v>
      </c>
      <c r="AV118" s="528">
        <f t="shared" si="74"/>
        <v>0</v>
      </c>
      <c r="AW118" s="519">
        <v>0</v>
      </c>
      <c r="AX118" s="520">
        <f>AW118/AW$92</f>
        <v>0</v>
      </c>
      <c r="AY118" s="521">
        <v>0</v>
      </c>
      <c r="AZ118" s="520">
        <f>AY118/AY$92</f>
        <v>0</v>
      </c>
      <c r="BA118" s="521">
        <v>0</v>
      </c>
      <c r="BB118" s="520">
        <f>BA118/BA$92</f>
        <v>0</v>
      </c>
      <c r="BC118" s="521">
        <f t="shared" si="79"/>
        <v>0</v>
      </c>
      <c r="BD118" s="523">
        <f t="shared" si="75"/>
        <v>0</v>
      </c>
      <c r="BE118" s="338"/>
      <c r="BF118" s="338"/>
    </row>
    <row r="119" spans="3:59" ht="9" customHeight="1">
      <c r="C119" s="344"/>
      <c r="D119" s="344"/>
      <c r="G119" s="351"/>
      <c r="H119" s="348"/>
      <c r="I119" s="351"/>
      <c r="J119" s="348"/>
      <c r="K119" s="348"/>
      <c r="L119" s="348"/>
      <c r="M119" s="348"/>
      <c r="N119" s="348"/>
      <c r="O119" s="348"/>
      <c r="P119" s="343"/>
      <c r="Q119" s="343"/>
      <c r="R119" s="343"/>
      <c r="S119" s="343"/>
      <c r="T119" s="343"/>
      <c r="U119" s="343"/>
      <c r="V119" s="343"/>
      <c r="W119" s="343"/>
      <c r="Z119" s="349"/>
      <c r="AA119" s="349"/>
      <c r="AB119" s="349"/>
      <c r="AD119" s="349"/>
      <c r="AE119" s="349"/>
      <c r="AF119" s="338"/>
      <c r="AH119" s="349"/>
      <c r="AI119" s="349"/>
      <c r="AJ119" s="349"/>
      <c r="AM119" s="349"/>
      <c r="AN119" s="338"/>
      <c r="AT119" s="338"/>
      <c r="AU119" s="338"/>
      <c r="AV119" s="338"/>
      <c r="AZ119" s="349"/>
      <c r="BB119" s="349"/>
      <c r="BC119" s="349"/>
      <c r="BD119" s="338"/>
      <c r="BE119" s="338"/>
      <c r="BF119" s="338"/>
      <c r="BG119" s="352"/>
    </row>
    <row r="120" spans="1:59" ht="15">
      <c r="A120" s="466" t="s">
        <v>108</v>
      </c>
      <c r="B120" s="467" t="s">
        <v>79</v>
      </c>
      <c r="C120" s="444"/>
      <c r="D120" s="453"/>
      <c r="E120" s="443"/>
      <c r="F120" s="447"/>
      <c r="G120" s="443">
        <f>SUM(G121:G146)</f>
        <v>3076378.5700000003</v>
      </c>
      <c r="H120" s="447">
        <f>SUM(H121:H146)</f>
        <v>1.0000000000000002</v>
      </c>
      <c r="I120" s="444">
        <f>SUM(I121:I146)</f>
        <v>4247769.130000001</v>
      </c>
      <c r="J120" s="450">
        <f>SUM(J121:J146)</f>
        <v>0.9999999999999996</v>
      </c>
      <c r="K120" s="32"/>
      <c r="L120" s="478">
        <f>SUM(L121:L146)</f>
        <v>1890.5000000000002</v>
      </c>
      <c r="M120" s="479">
        <f>SUM(M121:M146)</f>
        <v>3384.1999999999994</v>
      </c>
      <c r="N120" s="480">
        <f>SUM(N121:N146)</f>
        <v>9802.549999999997</v>
      </c>
      <c r="O120" s="481">
        <f>SUM(O121:O146)</f>
        <v>1.0000000000000002</v>
      </c>
      <c r="P120" s="508"/>
      <c r="Q120" s="505"/>
      <c r="R120" s="511"/>
      <c r="S120" s="505"/>
      <c r="T120" s="511"/>
      <c r="U120" s="505"/>
      <c r="V120" s="511"/>
      <c r="W120" s="514"/>
      <c r="Y120" s="338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8"/>
      <c r="AK120" s="338"/>
      <c r="AL120" s="338"/>
      <c r="AM120" s="338"/>
      <c r="AN120" s="338"/>
      <c r="AO120" s="338"/>
      <c r="AP120" s="338"/>
      <c r="AQ120" s="338"/>
      <c r="AR120" s="338"/>
      <c r="AS120" s="338"/>
      <c r="AT120" s="338"/>
      <c r="AU120" s="338"/>
      <c r="AV120" s="338"/>
      <c r="AW120" s="338"/>
      <c r="AX120" s="338"/>
      <c r="AY120" s="338"/>
      <c r="AZ120" s="338"/>
      <c r="BA120" s="338"/>
      <c r="BB120" s="338"/>
      <c r="BC120" s="338"/>
      <c r="BD120" s="338"/>
      <c r="BE120" s="338"/>
      <c r="BF120" s="338"/>
      <c r="BG120" s="352"/>
    </row>
    <row r="121" spans="1:59" ht="11.25" customHeight="1">
      <c r="A121" s="435">
        <v>11000</v>
      </c>
      <c r="B121" s="436" t="s">
        <v>80</v>
      </c>
      <c r="C121" s="346"/>
      <c r="D121" s="454"/>
      <c r="E121" s="437"/>
      <c r="F121" s="448"/>
      <c r="G121" s="437">
        <v>788865.03</v>
      </c>
      <c r="H121" s="448">
        <f>G121/G$120</f>
        <v>0.25642651320380244</v>
      </c>
      <c r="I121" s="346">
        <v>1196179.15</v>
      </c>
      <c r="J121" s="451">
        <f aca="true" t="shared" si="80" ref="J121:J146">I121/I$120</f>
        <v>0.2816017333785746</v>
      </c>
      <c r="K121" s="65"/>
      <c r="L121" s="474">
        <v>400.2</v>
      </c>
      <c r="M121" s="472">
        <v>723.9</v>
      </c>
      <c r="N121" s="473">
        <f aca="true" t="shared" si="81" ref="N121:N146">L121*2.5+M121*1.5</f>
        <v>2086.35</v>
      </c>
      <c r="O121" s="448">
        <f aca="true" t="shared" si="82" ref="O121:O146">N121/N$120</f>
        <v>0.21283747596288724</v>
      </c>
      <c r="P121" s="509"/>
      <c r="Q121" s="506"/>
      <c r="R121" s="512"/>
      <c r="S121" s="506"/>
      <c r="T121" s="512"/>
      <c r="U121" s="506"/>
      <c r="V121" s="517"/>
      <c r="W121" s="515"/>
      <c r="Y121" s="338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8"/>
      <c r="AK121" s="338"/>
      <c r="AL121" s="338"/>
      <c r="AM121" s="338"/>
      <c r="AN121" s="338"/>
      <c r="AO121" s="338"/>
      <c r="AP121" s="338"/>
      <c r="AQ121" s="338"/>
      <c r="AR121" s="338"/>
      <c r="AS121" s="338"/>
      <c r="AT121" s="338"/>
      <c r="AU121" s="338"/>
      <c r="AV121" s="338"/>
      <c r="AW121" s="338"/>
      <c r="AX121" s="338"/>
      <c r="AY121" s="338"/>
      <c r="AZ121" s="338"/>
      <c r="BA121" s="338"/>
      <c r="BB121" s="338"/>
      <c r="BC121" s="338"/>
      <c r="BD121" s="338"/>
      <c r="BE121" s="338"/>
      <c r="BF121" s="338"/>
      <c r="BG121" s="352"/>
    </row>
    <row r="122" spans="1:59" ht="11.25" customHeight="1">
      <c r="A122" s="422">
        <v>12000</v>
      </c>
      <c r="B122" s="423" t="s">
        <v>81</v>
      </c>
      <c r="C122" s="346"/>
      <c r="D122" s="454"/>
      <c r="E122" s="437"/>
      <c r="F122" s="448"/>
      <c r="G122" s="437">
        <v>93908.56</v>
      </c>
      <c r="H122" s="448">
        <f aca="true" t="shared" si="83" ref="H122:H146">G122/G$120</f>
        <v>0.030525683970032334</v>
      </c>
      <c r="I122" s="346">
        <v>104462.66999999998</v>
      </c>
      <c r="J122" s="451">
        <f t="shared" si="80"/>
        <v>0.02459236055515097</v>
      </c>
      <c r="K122" s="65"/>
      <c r="L122" s="474">
        <v>50.9</v>
      </c>
      <c r="M122" s="472">
        <v>104.2</v>
      </c>
      <c r="N122" s="473">
        <f t="shared" si="81"/>
        <v>283.55</v>
      </c>
      <c r="O122" s="448">
        <f t="shared" si="82"/>
        <v>0.028926146767932842</v>
      </c>
      <c r="P122" s="509"/>
      <c r="Q122" s="506"/>
      <c r="R122" s="512"/>
      <c r="S122" s="506"/>
      <c r="T122" s="512"/>
      <c r="U122" s="506"/>
      <c r="V122" s="517"/>
      <c r="W122" s="515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8"/>
      <c r="AK122" s="338"/>
      <c r="AL122" s="338"/>
      <c r="AM122" s="338"/>
      <c r="AN122" s="338"/>
      <c r="AO122" s="338"/>
      <c r="AP122" s="338"/>
      <c r="AQ122" s="338"/>
      <c r="AR122" s="338"/>
      <c r="AS122" s="338"/>
      <c r="AT122" s="338"/>
      <c r="AU122" s="338"/>
      <c r="AV122" s="338"/>
      <c r="AW122" s="338"/>
      <c r="AX122" s="338"/>
      <c r="AY122" s="338"/>
      <c r="AZ122" s="338"/>
      <c r="BA122" s="338"/>
      <c r="BB122" s="338"/>
      <c r="BC122" s="338"/>
      <c r="BD122" s="338"/>
      <c r="BE122" s="338"/>
      <c r="BF122" s="338"/>
      <c r="BG122" s="352"/>
    </row>
    <row r="123" spans="1:59" ht="11.25" customHeight="1">
      <c r="A123" s="422">
        <v>13000</v>
      </c>
      <c r="B123" s="423" t="s">
        <v>82</v>
      </c>
      <c r="C123" s="346"/>
      <c r="D123" s="454"/>
      <c r="E123" s="437"/>
      <c r="F123" s="448"/>
      <c r="G123" s="437">
        <v>19301.67</v>
      </c>
      <c r="H123" s="448">
        <f t="shared" si="83"/>
        <v>0.006274153053926649</v>
      </c>
      <c r="I123" s="346">
        <v>49661.97</v>
      </c>
      <c r="J123" s="451">
        <f t="shared" si="80"/>
        <v>0.011691306302233048</v>
      </c>
      <c r="K123" s="65"/>
      <c r="L123" s="474">
        <v>37.3</v>
      </c>
      <c r="M123" s="472">
        <v>77.8</v>
      </c>
      <c r="N123" s="473">
        <f t="shared" si="81"/>
        <v>209.95</v>
      </c>
      <c r="O123" s="448">
        <f t="shared" si="82"/>
        <v>0.021417896363701287</v>
      </c>
      <c r="P123" s="509"/>
      <c r="Q123" s="506"/>
      <c r="R123" s="512"/>
      <c r="S123" s="506"/>
      <c r="T123" s="512"/>
      <c r="U123" s="506"/>
      <c r="V123" s="517"/>
      <c r="W123" s="515"/>
      <c r="Y123" s="338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338"/>
      <c r="BD123" s="338"/>
      <c r="BE123" s="338"/>
      <c r="BF123" s="338"/>
      <c r="BG123" s="352"/>
    </row>
    <row r="124" spans="1:59" ht="11.25" customHeight="1">
      <c r="A124" s="422">
        <v>14000</v>
      </c>
      <c r="B124" s="423" t="s">
        <v>83</v>
      </c>
      <c r="C124" s="346"/>
      <c r="D124" s="454"/>
      <c r="E124" s="437"/>
      <c r="F124" s="448"/>
      <c r="G124" s="437">
        <v>332483.39</v>
      </c>
      <c r="H124" s="448">
        <f t="shared" si="83"/>
        <v>0.10807622743256855</v>
      </c>
      <c r="I124" s="346">
        <v>379812.75999999995</v>
      </c>
      <c r="J124" s="451">
        <f t="shared" si="80"/>
        <v>0.08941464292811033</v>
      </c>
      <c r="K124" s="65"/>
      <c r="L124" s="474">
        <v>196.1</v>
      </c>
      <c r="M124" s="472">
        <v>303.3</v>
      </c>
      <c r="N124" s="473">
        <f t="shared" si="81"/>
        <v>945.2</v>
      </c>
      <c r="O124" s="448">
        <f t="shared" si="82"/>
        <v>0.09642388970216936</v>
      </c>
      <c r="P124" s="509"/>
      <c r="Q124" s="506"/>
      <c r="R124" s="512"/>
      <c r="S124" s="506"/>
      <c r="T124" s="512"/>
      <c r="U124" s="506"/>
      <c r="V124" s="517"/>
      <c r="W124" s="515"/>
      <c r="Y124" s="338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8"/>
      <c r="AK124" s="338"/>
      <c r="AL124" s="338"/>
      <c r="AM124" s="338"/>
      <c r="AN124" s="338"/>
      <c r="AO124" s="338"/>
      <c r="AP124" s="338"/>
      <c r="AQ124" s="338"/>
      <c r="AR124" s="338"/>
      <c r="AS124" s="338"/>
      <c r="AT124" s="338"/>
      <c r="AU124" s="338"/>
      <c r="AV124" s="338"/>
      <c r="AW124" s="338"/>
      <c r="AX124" s="338"/>
      <c r="AY124" s="338"/>
      <c r="AZ124" s="338"/>
      <c r="BA124" s="338"/>
      <c r="BB124" s="338"/>
      <c r="BC124" s="338"/>
      <c r="BD124" s="338"/>
      <c r="BE124" s="338"/>
      <c r="BF124" s="338"/>
      <c r="BG124" s="352"/>
    </row>
    <row r="125" spans="1:59" ht="11.25" customHeight="1">
      <c r="A125" s="422">
        <v>15000</v>
      </c>
      <c r="B125" s="423" t="s">
        <v>84</v>
      </c>
      <c r="C125" s="346"/>
      <c r="D125" s="454"/>
      <c r="E125" s="437"/>
      <c r="F125" s="448"/>
      <c r="G125" s="437">
        <v>174126.3</v>
      </c>
      <c r="H125" s="448">
        <f t="shared" si="83"/>
        <v>0.05660106389312157</v>
      </c>
      <c r="I125" s="346">
        <v>191820.58000000002</v>
      </c>
      <c r="J125" s="451">
        <f t="shared" si="80"/>
        <v>0.04515795800794851</v>
      </c>
      <c r="K125" s="65"/>
      <c r="L125" s="474">
        <v>128.6</v>
      </c>
      <c r="M125" s="472">
        <v>206.7</v>
      </c>
      <c r="N125" s="473">
        <f t="shared" si="81"/>
        <v>631.55</v>
      </c>
      <c r="O125" s="448">
        <f t="shared" si="82"/>
        <v>0.06442711335315812</v>
      </c>
      <c r="P125" s="509"/>
      <c r="Q125" s="506"/>
      <c r="R125" s="512"/>
      <c r="S125" s="506"/>
      <c r="T125" s="512"/>
      <c r="U125" s="506"/>
      <c r="V125" s="517"/>
      <c r="W125" s="515"/>
      <c r="Y125" s="338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8"/>
      <c r="AK125" s="338"/>
      <c r="AL125" s="338"/>
      <c r="AM125" s="338"/>
      <c r="AN125" s="338"/>
      <c r="AO125" s="338"/>
      <c r="AP125" s="338"/>
      <c r="AQ125" s="338"/>
      <c r="AR125" s="338"/>
      <c r="AS125" s="338"/>
      <c r="AT125" s="338"/>
      <c r="AU125" s="338"/>
      <c r="AV125" s="338"/>
      <c r="AW125" s="338"/>
      <c r="AX125" s="338"/>
      <c r="AY125" s="338"/>
      <c r="AZ125" s="338"/>
      <c r="BA125" s="338"/>
      <c r="BB125" s="338"/>
      <c r="BC125" s="338"/>
      <c r="BD125" s="338"/>
      <c r="BE125" s="338"/>
      <c r="BF125" s="338"/>
      <c r="BG125" s="352"/>
    </row>
    <row r="126" spans="1:59" ht="11.25" customHeight="1">
      <c r="A126" s="422">
        <v>16000</v>
      </c>
      <c r="B126" s="423" t="s">
        <v>85</v>
      </c>
      <c r="C126" s="346"/>
      <c r="D126" s="454"/>
      <c r="E126" s="437"/>
      <c r="F126" s="448"/>
      <c r="G126" s="437">
        <v>26425</v>
      </c>
      <c r="H126" s="448">
        <f t="shared" si="83"/>
        <v>0.008589645064391409</v>
      </c>
      <c r="I126" s="346">
        <v>83571</v>
      </c>
      <c r="J126" s="451">
        <f t="shared" si="80"/>
        <v>0.019674091845005705</v>
      </c>
      <c r="K126" s="65"/>
      <c r="L126" s="474">
        <v>31.9</v>
      </c>
      <c r="M126" s="472">
        <v>39.1</v>
      </c>
      <c r="N126" s="473">
        <f t="shared" si="81"/>
        <v>138.4</v>
      </c>
      <c r="O126" s="448">
        <f t="shared" si="82"/>
        <v>0.014118775216652814</v>
      </c>
      <c r="P126" s="509"/>
      <c r="Q126" s="506"/>
      <c r="R126" s="512"/>
      <c r="S126" s="506"/>
      <c r="T126" s="512"/>
      <c r="U126" s="506"/>
      <c r="V126" s="517"/>
      <c r="W126" s="515"/>
      <c r="Y126" s="338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8"/>
      <c r="AK126" s="338"/>
      <c r="AL126" s="338"/>
      <c r="AM126" s="338"/>
      <c r="AN126" s="338"/>
      <c r="AO126" s="338"/>
      <c r="AP126" s="338"/>
      <c r="AQ126" s="338"/>
      <c r="AR126" s="338"/>
      <c r="AS126" s="338"/>
      <c r="AT126" s="338"/>
      <c r="AU126" s="338"/>
      <c r="AV126" s="338"/>
      <c r="AW126" s="338"/>
      <c r="AX126" s="338"/>
      <c r="AY126" s="338"/>
      <c r="AZ126" s="338"/>
      <c r="BA126" s="338"/>
      <c r="BB126" s="338"/>
      <c r="BC126" s="338"/>
      <c r="BD126" s="338"/>
      <c r="BE126" s="338"/>
      <c r="BF126" s="338"/>
      <c r="BG126" s="352"/>
    </row>
    <row r="127" spans="1:59" ht="11.25" customHeight="1">
      <c r="A127" s="422">
        <v>17000</v>
      </c>
      <c r="B127" s="423" t="s">
        <v>86</v>
      </c>
      <c r="C127" s="346"/>
      <c r="D127" s="454"/>
      <c r="E127" s="437"/>
      <c r="F127" s="448"/>
      <c r="G127" s="437">
        <v>9265.78</v>
      </c>
      <c r="H127" s="448">
        <f t="shared" si="83"/>
        <v>0.0030119115021660027</v>
      </c>
      <c r="I127" s="346">
        <v>71125.67</v>
      </c>
      <c r="J127" s="451">
        <f t="shared" si="80"/>
        <v>0.016744240994095643</v>
      </c>
      <c r="K127" s="65"/>
      <c r="L127" s="474">
        <v>37.1</v>
      </c>
      <c r="M127" s="472">
        <v>91.9</v>
      </c>
      <c r="N127" s="473">
        <f t="shared" si="81"/>
        <v>230.60000000000002</v>
      </c>
      <c r="O127" s="448">
        <f t="shared" si="82"/>
        <v>0.023524491076301585</v>
      </c>
      <c r="P127" s="509"/>
      <c r="Q127" s="506"/>
      <c r="R127" s="512"/>
      <c r="S127" s="506"/>
      <c r="T127" s="512"/>
      <c r="U127" s="506"/>
      <c r="V127" s="517"/>
      <c r="W127" s="515"/>
      <c r="Y127" s="338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8"/>
      <c r="AK127" s="338"/>
      <c r="AL127" s="338"/>
      <c r="AM127" s="338"/>
      <c r="AN127" s="338"/>
      <c r="AO127" s="338"/>
      <c r="AP127" s="338"/>
      <c r="AQ127" s="338"/>
      <c r="AR127" s="338"/>
      <c r="AS127" s="338"/>
      <c r="AT127" s="338"/>
      <c r="AU127" s="338"/>
      <c r="AV127" s="338"/>
      <c r="AW127" s="338"/>
      <c r="AX127" s="338"/>
      <c r="AY127" s="338"/>
      <c r="AZ127" s="338"/>
      <c r="BA127" s="338"/>
      <c r="BB127" s="338"/>
      <c r="BC127" s="338"/>
      <c r="BD127" s="338"/>
      <c r="BE127" s="338"/>
      <c r="BF127" s="338"/>
      <c r="BG127" s="352"/>
    </row>
    <row r="128" spans="1:59" ht="11.25" customHeight="1">
      <c r="A128" s="422">
        <v>18000</v>
      </c>
      <c r="B128" s="423" t="s">
        <v>87</v>
      </c>
      <c r="C128" s="346"/>
      <c r="D128" s="454"/>
      <c r="E128" s="437"/>
      <c r="F128" s="448"/>
      <c r="G128" s="437">
        <v>3418.7</v>
      </c>
      <c r="H128" s="448">
        <f t="shared" si="83"/>
        <v>0.0011112741563532604</v>
      </c>
      <c r="I128" s="346">
        <v>40659.56</v>
      </c>
      <c r="J128" s="451">
        <f t="shared" si="80"/>
        <v>0.00957197972762705</v>
      </c>
      <c r="K128" s="65"/>
      <c r="L128" s="474">
        <v>30.3</v>
      </c>
      <c r="M128" s="472">
        <v>68.6</v>
      </c>
      <c r="N128" s="473">
        <f t="shared" si="81"/>
        <v>178.64999999999998</v>
      </c>
      <c r="O128" s="448">
        <f t="shared" si="82"/>
        <v>0.01822484965646694</v>
      </c>
      <c r="P128" s="509"/>
      <c r="Q128" s="506"/>
      <c r="R128" s="512"/>
      <c r="S128" s="506"/>
      <c r="T128" s="512"/>
      <c r="U128" s="506"/>
      <c r="V128" s="517"/>
      <c r="W128" s="515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52"/>
    </row>
    <row r="129" spans="1:59" ht="11.25" customHeight="1">
      <c r="A129" s="422">
        <v>19000</v>
      </c>
      <c r="B129" s="423" t="s">
        <v>88</v>
      </c>
      <c r="C129" s="346"/>
      <c r="D129" s="454"/>
      <c r="E129" s="437"/>
      <c r="F129" s="448"/>
      <c r="G129" s="437">
        <v>3056</v>
      </c>
      <c r="H129" s="448">
        <f t="shared" si="83"/>
        <v>0.0009933757924987755</v>
      </c>
      <c r="I129" s="346">
        <v>47552.64</v>
      </c>
      <c r="J129" s="451">
        <f t="shared" si="80"/>
        <v>0.011194732704317194</v>
      </c>
      <c r="K129" s="65"/>
      <c r="L129" s="474">
        <v>16.9</v>
      </c>
      <c r="M129" s="472">
        <v>37.5</v>
      </c>
      <c r="N129" s="473">
        <f t="shared" si="81"/>
        <v>98.5</v>
      </c>
      <c r="O129" s="448">
        <f t="shared" si="82"/>
        <v>0.0100484057719675</v>
      </c>
      <c r="P129" s="509"/>
      <c r="Q129" s="506"/>
      <c r="R129" s="512"/>
      <c r="S129" s="506"/>
      <c r="T129" s="512"/>
      <c r="U129" s="506"/>
      <c r="V129" s="517"/>
      <c r="W129" s="515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52"/>
    </row>
    <row r="130" spans="1:59" ht="11.25" customHeight="1">
      <c r="A130" s="422">
        <v>21000</v>
      </c>
      <c r="B130" s="423" t="s">
        <v>89</v>
      </c>
      <c r="C130" s="346"/>
      <c r="D130" s="454"/>
      <c r="E130" s="437"/>
      <c r="F130" s="448"/>
      <c r="G130" s="437">
        <v>545824.8</v>
      </c>
      <c r="H130" s="448">
        <f t="shared" si="83"/>
        <v>0.17742445787483171</v>
      </c>
      <c r="I130" s="346">
        <v>538048.14</v>
      </c>
      <c r="J130" s="451">
        <f t="shared" si="80"/>
        <v>0.1266660507041257</v>
      </c>
      <c r="K130" s="65"/>
      <c r="L130" s="474">
        <v>176</v>
      </c>
      <c r="M130" s="472">
        <v>342.6</v>
      </c>
      <c r="N130" s="473">
        <f t="shared" si="81"/>
        <v>953.9000000000001</v>
      </c>
      <c r="O130" s="448">
        <f t="shared" si="82"/>
        <v>0.0973114138668</v>
      </c>
      <c r="P130" s="509"/>
      <c r="Q130" s="506"/>
      <c r="R130" s="512"/>
      <c r="S130" s="506"/>
      <c r="T130" s="512"/>
      <c r="U130" s="506"/>
      <c r="V130" s="517"/>
      <c r="W130" s="515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52"/>
    </row>
    <row r="131" spans="1:59" ht="11.25" customHeight="1">
      <c r="A131" s="422">
        <v>22000</v>
      </c>
      <c r="B131" s="423" t="s">
        <v>90</v>
      </c>
      <c r="C131" s="346"/>
      <c r="D131" s="454"/>
      <c r="E131" s="437"/>
      <c r="F131" s="448"/>
      <c r="G131" s="437">
        <v>148469.51</v>
      </c>
      <c r="H131" s="448">
        <f t="shared" si="83"/>
        <v>0.04826113126902974</v>
      </c>
      <c r="I131" s="346">
        <v>122556.71</v>
      </c>
      <c r="J131" s="451">
        <f t="shared" si="80"/>
        <v>0.02885201767074379</v>
      </c>
      <c r="K131" s="65"/>
      <c r="L131" s="474">
        <v>58.7</v>
      </c>
      <c r="M131" s="472">
        <v>95.9</v>
      </c>
      <c r="N131" s="473">
        <f t="shared" si="81"/>
        <v>290.6</v>
      </c>
      <c r="O131" s="448">
        <f t="shared" si="82"/>
        <v>0.029645347384099047</v>
      </c>
      <c r="P131" s="509"/>
      <c r="Q131" s="506"/>
      <c r="R131" s="512"/>
      <c r="S131" s="506"/>
      <c r="T131" s="512"/>
      <c r="U131" s="506"/>
      <c r="V131" s="517"/>
      <c r="W131" s="515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52"/>
    </row>
    <row r="132" spans="1:59" ht="11.25" customHeight="1">
      <c r="A132" s="422">
        <v>23000</v>
      </c>
      <c r="B132" s="423" t="s">
        <v>91</v>
      </c>
      <c r="C132" s="346"/>
      <c r="D132" s="454"/>
      <c r="E132" s="437"/>
      <c r="F132" s="448"/>
      <c r="G132" s="437">
        <v>129513.48</v>
      </c>
      <c r="H132" s="448">
        <f t="shared" si="83"/>
        <v>0.042099331097602846</v>
      </c>
      <c r="I132" s="346">
        <v>104273.4</v>
      </c>
      <c r="J132" s="451">
        <f t="shared" si="80"/>
        <v>0.024547803048797046</v>
      </c>
      <c r="K132" s="65"/>
      <c r="L132" s="474">
        <v>67.7</v>
      </c>
      <c r="M132" s="472">
        <v>139.5</v>
      </c>
      <c r="N132" s="473">
        <f t="shared" si="81"/>
        <v>378.5</v>
      </c>
      <c r="O132" s="448">
        <f t="shared" si="82"/>
        <v>0.03861240187502232</v>
      </c>
      <c r="P132" s="509"/>
      <c r="Q132" s="506"/>
      <c r="R132" s="512"/>
      <c r="S132" s="506"/>
      <c r="T132" s="512"/>
      <c r="U132" s="506"/>
      <c r="V132" s="517"/>
      <c r="W132" s="515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52"/>
    </row>
    <row r="133" spans="1:59" ht="11.25" customHeight="1">
      <c r="A133" s="422">
        <v>24000</v>
      </c>
      <c r="B133" s="423" t="s">
        <v>92</v>
      </c>
      <c r="C133" s="346"/>
      <c r="D133" s="454"/>
      <c r="E133" s="437"/>
      <c r="F133" s="448"/>
      <c r="G133" s="437">
        <v>104997.63</v>
      </c>
      <c r="H133" s="448">
        <f t="shared" si="83"/>
        <v>0.03413026960462801</v>
      </c>
      <c r="I133" s="346">
        <v>125160.48999999999</v>
      </c>
      <c r="J133" s="451">
        <f t="shared" si="80"/>
        <v>0.02946499354591806</v>
      </c>
      <c r="K133" s="65"/>
      <c r="L133" s="474">
        <v>50.7</v>
      </c>
      <c r="M133" s="472">
        <v>105.8</v>
      </c>
      <c r="N133" s="473">
        <f t="shared" si="81"/>
        <v>285.45</v>
      </c>
      <c r="O133" s="448">
        <f t="shared" si="82"/>
        <v>0.029119973884346426</v>
      </c>
      <c r="P133" s="509"/>
      <c r="Q133" s="506"/>
      <c r="R133" s="512"/>
      <c r="S133" s="506"/>
      <c r="T133" s="512"/>
      <c r="U133" s="506"/>
      <c r="V133" s="517"/>
      <c r="W133" s="515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52"/>
    </row>
    <row r="134" spans="1:59" ht="11.25" customHeight="1">
      <c r="A134" s="422">
        <v>25000</v>
      </c>
      <c r="B134" s="423" t="s">
        <v>93</v>
      </c>
      <c r="C134" s="346"/>
      <c r="D134" s="454"/>
      <c r="E134" s="437"/>
      <c r="F134" s="448"/>
      <c r="G134" s="437">
        <v>41502.81</v>
      </c>
      <c r="H134" s="448">
        <f t="shared" si="83"/>
        <v>0.013490800646163646</v>
      </c>
      <c r="I134" s="346">
        <v>70134.88</v>
      </c>
      <c r="J134" s="451">
        <f t="shared" si="80"/>
        <v>0.016510991500143037</v>
      </c>
      <c r="K134" s="65"/>
      <c r="L134" s="474">
        <v>51.4</v>
      </c>
      <c r="M134" s="472">
        <v>98.6</v>
      </c>
      <c r="N134" s="473">
        <f t="shared" si="81"/>
        <v>276.4</v>
      </c>
      <c r="O134" s="448">
        <f t="shared" si="82"/>
        <v>0.028196744724586973</v>
      </c>
      <c r="P134" s="509"/>
      <c r="Q134" s="506"/>
      <c r="R134" s="512"/>
      <c r="S134" s="506"/>
      <c r="T134" s="512"/>
      <c r="U134" s="506"/>
      <c r="V134" s="517"/>
      <c r="W134" s="515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8"/>
      <c r="BG134" s="352"/>
    </row>
    <row r="135" spans="1:59" ht="11.25" customHeight="1">
      <c r="A135" s="422">
        <v>26000</v>
      </c>
      <c r="B135" s="423" t="s">
        <v>94</v>
      </c>
      <c r="C135" s="346"/>
      <c r="D135" s="454"/>
      <c r="E135" s="437"/>
      <c r="F135" s="448"/>
      <c r="G135" s="437">
        <v>270870.78</v>
      </c>
      <c r="H135" s="448">
        <f t="shared" si="83"/>
        <v>0.08804858499583164</v>
      </c>
      <c r="I135" s="346">
        <v>362765.72</v>
      </c>
      <c r="J135" s="451">
        <f t="shared" si="80"/>
        <v>0.08540146813487481</v>
      </c>
      <c r="K135" s="65"/>
      <c r="L135" s="474">
        <v>115.2</v>
      </c>
      <c r="M135" s="472">
        <v>256.2</v>
      </c>
      <c r="N135" s="473">
        <f t="shared" si="81"/>
        <v>672.3</v>
      </c>
      <c r="O135" s="448">
        <f t="shared" si="82"/>
        <v>0.06858419492887056</v>
      </c>
      <c r="P135" s="509"/>
      <c r="Q135" s="506"/>
      <c r="R135" s="512"/>
      <c r="S135" s="506"/>
      <c r="T135" s="512"/>
      <c r="U135" s="506"/>
      <c r="V135" s="517"/>
      <c r="W135" s="515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52"/>
    </row>
    <row r="136" spans="1:59" ht="11.25" customHeight="1">
      <c r="A136" s="422">
        <v>27000</v>
      </c>
      <c r="B136" s="423" t="s">
        <v>95</v>
      </c>
      <c r="C136" s="346"/>
      <c r="D136" s="454"/>
      <c r="E136" s="437"/>
      <c r="F136" s="448"/>
      <c r="G136" s="437">
        <v>144033.22</v>
      </c>
      <c r="H136" s="448">
        <f t="shared" si="83"/>
        <v>0.04681908182711076</v>
      </c>
      <c r="I136" s="346">
        <v>193332.83000000002</v>
      </c>
      <c r="J136" s="451">
        <f t="shared" si="80"/>
        <v>0.045513968410990355</v>
      </c>
      <c r="K136" s="65"/>
      <c r="L136" s="474">
        <v>111.8</v>
      </c>
      <c r="M136" s="472">
        <v>178.2</v>
      </c>
      <c r="N136" s="473">
        <f t="shared" si="81"/>
        <v>546.8</v>
      </c>
      <c r="O136" s="448">
        <f t="shared" si="82"/>
        <v>0.0557814038183942</v>
      </c>
      <c r="P136" s="509"/>
      <c r="Q136" s="506"/>
      <c r="R136" s="512"/>
      <c r="S136" s="506"/>
      <c r="T136" s="512"/>
      <c r="U136" s="506"/>
      <c r="V136" s="517"/>
      <c r="W136" s="515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338"/>
      <c r="AK136" s="338"/>
      <c r="AL136" s="338"/>
      <c r="AM136" s="338"/>
      <c r="AN136" s="338"/>
      <c r="AO136" s="338"/>
      <c r="AP136" s="338"/>
      <c r="AQ136" s="338"/>
      <c r="AR136" s="338"/>
      <c r="AS136" s="338"/>
      <c r="AT136" s="338"/>
      <c r="AU136" s="338"/>
      <c r="AV136" s="338"/>
      <c r="AW136" s="338"/>
      <c r="AX136" s="338"/>
      <c r="AY136" s="338"/>
      <c r="AZ136" s="338"/>
      <c r="BA136" s="338"/>
      <c r="BB136" s="338"/>
      <c r="BC136" s="338"/>
      <c r="BD136" s="338"/>
      <c r="BE136" s="338"/>
      <c r="BF136" s="338"/>
      <c r="BG136" s="352"/>
    </row>
    <row r="137" spans="1:59" ht="11.25" customHeight="1">
      <c r="A137" s="422">
        <v>28000</v>
      </c>
      <c r="B137" s="423" t="s">
        <v>96</v>
      </c>
      <c r="C137" s="346"/>
      <c r="D137" s="454"/>
      <c r="E137" s="437"/>
      <c r="F137" s="448"/>
      <c r="G137" s="437">
        <v>23693.26</v>
      </c>
      <c r="H137" s="448">
        <f t="shared" si="83"/>
        <v>0.007701672424535189</v>
      </c>
      <c r="I137" s="346">
        <v>54285.44</v>
      </c>
      <c r="J137" s="451">
        <f t="shared" si="80"/>
        <v>0.012779752933512183</v>
      </c>
      <c r="K137" s="65"/>
      <c r="L137" s="474">
        <v>37.9</v>
      </c>
      <c r="M137" s="472">
        <v>77.7</v>
      </c>
      <c r="N137" s="473">
        <f t="shared" si="81"/>
        <v>211.3</v>
      </c>
      <c r="O137" s="448">
        <f t="shared" si="82"/>
        <v>0.02155561563062673</v>
      </c>
      <c r="P137" s="509"/>
      <c r="Q137" s="506"/>
      <c r="R137" s="512"/>
      <c r="S137" s="506"/>
      <c r="T137" s="512"/>
      <c r="U137" s="506"/>
      <c r="V137" s="517"/>
      <c r="W137" s="515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52"/>
    </row>
    <row r="138" spans="1:59" ht="11.25" customHeight="1">
      <c r="A138" s="422">
        <v>31000</v>
      </c>
      <c r="B138" s="423" t="s">
        <v>97</v>
      </c>
      <c r="C138" s="346"/>
      <c r="D138" s="454"/>
      <c r="E138" s="437"/>
      <c r="F138" s="448"/>
      <c r="G138" s="437">
        <v>26364</v>
      </c>
      <c r="H138" s="448">
        <f t="shared" si="83"/>
        <v>0.00856981655544428</v>
      </c>
      <c r="I138" s="346">
        <v>197597</v>
      </c>
      <c r="J138" s="451">
        <f t="shared" si="80"/>
        <v>0.04651782946593427</v>
      </c>
      <c r="K138" s="65"/>
      <c r="L138" s="474">
        <v>66</v>
      </c>
      <c r="M138" s="472">
        <v>132.9</v>
      </c>
      <c r="N138" s="473">
        <f t="shared" si="81"/>
        <v>364.35</v>
      </c>
      <c r="O138" s="448">
        <f t="shared" si="82"/>
        <v>0.037168899929100094</v>
      </c>
      <c r="P138" s="509"/>
      <c r="Q138" s="506"/>
      <c r="R138" s="512"/>
      <c r="S138" s="506"/>
      <c r="T138" s="512"/>
      <c r="U138" s="506"/>
      <c r="V138" s="517"/>
      <c r="W138" s="515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52"/>
    </row>
    <row r="139" spans="1:59" ht="11.25" customHeight="1">
      <c r="A139" s="422">
        <v>41000</v>
      </c>
      <c r="B139" s="423" t="s">
        <v>98</v>
      </c>
      <c r="C139" s="346"/>
      <c r="D139" s="454"/>
      <c r="E139" s="437"/>
      <c r="F139" s="448"/>
      <c r="G139" s="437">
        <v>64753.75</v>
      </c>
      <c r="H139" s="448">
        <f t="shared" si="83"/>
        <v>0.021048693626805493</v>
      </c>
      <c r="I139" s="346">
        <v>117806.11</v>
      </c>
      <c r="J139" s="451">
        <f t="shared" si="80"/>
        <v>0.027733642388422363</v>
      </c>
      <c r="K139" s="65"/>
      <c r="L139" s="474">
        <v>61.2</v>
      </c>
      <c r="M139" s="472">
        <v>87.2</v>
      </c>
      <c r="N139" s="473">
        <f t="shared" si="81"/>
        <v>283.8</v>
      </c>
      <c r="O139" s="448">
        <f t="shared" si="82"/>
        <v>0.028951650335881998</v>
      </c>
      <c r="P139" s="509"/>
      <c r="Q139" s="506"/>
      <c r="R139" s="512"/>
      <c r="S139" s="506"/>
      <c r="T139" s="512"/>
      <c r="U139" s="506"/>
      <c r="V139" s="517"/>
      <c r="W139" s="515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8"/>
      <c r="BF139" s="338"/>
      <c r="BG139" s="352"/>
    </row>
    <row r="140" spans="1:59" ht="11.25" customHeight="1">
      <c r="A140" s="422">
        <v>43000</v>
      </c>
      <c r="B140" s="423" t="s">
        <v>99</v>
      </c>
      <c r="C140" s="346"/>
      <c r="D140" s="454"/>
      <c r="E140" s="437"/>
      <c r="F140" s="448"/>
      <c r="G140" s="437">
        <v>100312.52</v>
      </c>
      <c r="H140" s="448">
        <f t="shared" si="83"/>
        <v>0.03260733934965618</v>
      </c>
      <c r="I140" s="346">
        <v>147099.75</v>
      </c>
      <c r="J140" s="451">
        <f t="shared" si="80"/>
        <v>0.03462988347485824</v>
      </c>
      <c r="K140" s="65"/>
      <c r="L140" s="474">
        <v>57.1</v>
      </c>
      <c r="M140" s="472">
        <v>88.3</v>
      </c>
      <c r="N140" s="473">
        <f t="shared" si="81"/>
        <v>275.2</v>
      </c>
      <c r="O140" s="448">
        <f t="shared" si="82"/>
        <v>0.028074327598431027</v>
      </c>
      <c r="P140" s="509"/>
      <c r="Q140" s="506"/>
      <c r="R140" s="512"/>
      <c r="S140" s="506"/>
      <c r="T140" s="512"/>
      <c r="U140" s="506"/>
      <c r="V140" s="517"/>
      <c r="W140" s="515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52"/>
    </row>
    <row r="141" spans="1:59" ht="11.25" customHeight="1">
      <c r="A141" s="422">
        <v>51000</v>
      </c>
      <c r="B141" s="423" t="s">
        <v>100</v>
      </c>
      <c r="C141" s="346"/>
      <c r="D141" s="454"/>
      <c r="E141" s="437"/>
      <c r="F141" s="448"/>
      <c r="G141" s="437">
        <v>22931.030000000002</v>
      </c>
      <c r="H141" s="448">
        <f t="shared" si="83"/>
        <v>0.007453903828227486</v>
      </c>
      <c r="I141" s="346">
        <v>13115.630000000001</v>
      </c>
      <c r="J141" s="451">
        <f t="shared" si="80"/>
        <v>0.003087651329110723</v>
      </c>
      <c r="K141" s="65"/>
      <c r="L141" s="474">
        <v>59.7</v>
      </c>
      <c r="M141" s="472">
        <v>70.2</v>
      </c>
      <c r="N141" s="473">
        <f t="shared" si="81"/>
        <v>254.55</v>
      </c>
      <c r="O141" s="448">
        <f t="shared" si="82"/>
        <v>0.025967732885830735</v>
      </c>
      <c r="P141" s="509"/>
      <c r="Q141" s="506"/>
      <c r="R141" s="512"/>
      <c r="S141" s="506"/>
      <c r="T141" s="512"/>
      <c r="U141" s="506"/>
      <c r="V141" s="517"/>
      <c r="W141" s="515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52"/>
    </row>
    <row r="142" spans="1:59" ht="11.25" customHeight="1">
      <c r="A142" s="422">
        <v>52000</v>
      </c>
      <c r="B142" s="423" t="s">
        <v>101</v>
      </c>
      <c r="C142" s="346"/>
      <c r="D142" s="454"/>
      <c r="E142" s="437"/>
      <c r="F142" s="448"/>
      <c r="G142" s="437">
        <v>763</v>
      </c>
      <c r="H142" s="448">
        <f t="shared" si="83"/>
        <v>0.00024801889060097044</v>
      </c>
      <c r="I142" s="346">
        <v>4012.5699999999997</v>
      </c>
      <c r="J142" s="451">
        <f t="shared" si="80"/>
        <v>0.000944629963917083</v>
      </c>
      <c r="K142" s="65"/>
      <c r="L142" s="474">
        <v>12.3</v>
      </c>
      <c r="M142" s="472">
        <v>8.4</v>
      </c>
      <c r="N142" s="473">
        <f t="shared" si="81"/>
        <v>43.35</v>
      </c>
      <c r="O142" s="448">
        <f t="shared" si="82"/>
        <v>0.004422318682383667</v>
      </c>
      <c r="P142" s="509"/>
      <c r="Q142" s="506"/>
      <c r="R142" s="512"/>
      <c r="S142" s="506"/>
      <c r="T142" s="512"/>
      <c r="U142" s="506"/>
      <c r="V142" s="517"/>
      <c r="W142" s="515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52"/>
    </row>
    <row r="143" spans="1:59" ht="11.25" customHeight="1">
      <c r="A143" s="422">
        <v>53000</v>
      </c>
      <c r="B143" s="423" t="s">
        <v>102</v>
      </c>
      <c r="C143" s="346"/>
      <c r="D143" s="454"/>
      <c r="E143" s="437"/>
      <c r="F143" s="448"/>
      <c r="G143" s="437">
        <v>468.4</v>
      </c>
      <c r="H143" s="448">
        <f t="shared" si="83"/>
        <v>0.00015225694411205053</v>
      </c>
      <c r="I143" s="346">
        <v>8635.98</v>
      </c>
      <c r="J143" s="451">
        <f t="shared" si="80"/>
        <v>0.002033062470134764</v>
      </c>
      <c r="K143" s="65"/>
      <c r="L143" s="474">
        <v>8.8</v>
      </c>
      <c r="M143" s="472">
        <v>8.1</v>
      </c>
      <c r="N143" s="473">
        <f t="shared" si="81"/>
        <v>34.15</v>
      </c>
      <c r="O143" s="448">
        <f t="shared" si="82"/>
        <v>0.0034837873818547222</v>
      </c>
      <c r="P143" s="509"/>
      <c r="Q143" s="506"/>
      <c r="R143" s="512"/>
      <c r="S143" s="506"/>
      <c r="T143" s="512"/>
      <c r="U143" s="506"/>
      <c r="V143" s="517"/>
      <c r="W143" s="515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52"/>
    </row>
    <row r="144" spans="1:59" ht="11.25" customHeight="1">
      <c r="A144" s="422">
        <v>54000</v>
      </c>
      <c r="B144" s="423" t="s">
        <v>103</v>
      </c>
      <c r="C144" s="346"/>
      <c r="D144" s="454"/>
      <c r="E144" s="437"/>
      <c r="F144" s="448"/>
      <c r="G144" s="437">
        <v>1029.95</v>
      </c>
      <c r="H144" s="448">
        <f t="shared" si="83"/>
        <v>0.0003347929965589378</v>
      </c>
      <c r="I144" s="346">
        <v>8561.23</v>
      </c>
      <c r="J144" s="451">
        <f t="shared" si="80"/>
        <v>0.002015464997741061</v>
      </c>
      <c r="K144" s="65"/>
      <c r="L144" s="474">
        <v>21.7</v>
      </c>
      <c r="M144" s="472">
        <v>33.9</v>
      </c>
      <c r="N144" s="473">
        <f t="shared" si="81"/>
        <v>105.1</v>
      </c>
      <c r="O144" s="448">
        <f t="shared" si="82"/>
        <v>0.010721699965825221</v>
      </c>
      <c r="P144" s="509"/>
      <c r="Q144" s="506"/>
      <c r="R144" s="512"/>
      <c r="S144" s="506"/>
      <c r="T144" s="512"/>
      <c r="U144" s="506"/>
      <c r="V144" s="517"/>
      <c r="W144" s="515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338"/>
      <c r="AK144" s="338"/>
      <c r="AL144" s="338"/>
      <c r="AM144" s="338"/>
      <c r="AN144" s="338"/>
      <c r="AO144" s="338"/>
      <c r="AP144" s="338"/>
      <c r="AQ144" s="338"/>
      <c r="AR144" s="338"/>
      <c r="AS144" s="338"/>
      <c r="AT144" s="338"/>
      <c r="AU144" s="338"/>
      <c r="AV144" s="338"/>
      <c r="AW144" s="338"/>
      <c r="AX144" s="338"/>
      <c r="AY144" s="338"/>
      <c r="AZ144" s="338"/>
      <c r="BA144" s="338"/>
      <c r="BB144" s="338"/>
      <c r="BC144" s="338"/>
      <c r="BD144" s="338"/>
      <c r="BE144" s="338"/>
      <c r="BF144" s="338"/>
      <c r="BG144" s="352"/>
    </row>
    <row r="145" spans="1:58" ht="11.25" customHeight="1">
      <c r="A145" s="422">
        <v>55000</v>
      </c>
      <c r="B145" s="423" t="s">
        <v>104</v>
      </c>
      <c r="C145" s="346"/>
      <c r="D145" s="454"/>
      <c r="E145" s="437"/>
      <c r="F145" s="448"/>
      <c r="G145" s="437">
        <v>0</v>
      </c>
      <c r="H145" s="448">
        <f t="shared" si="83"/>
        <v>0</v>
      </c>
      <c r="I145" s="346">
        <v>12698.66</v>
      </c>
      <c r="J145" s="451">
        <f t="shared" si="80"/>
        <v>0.0029894892145421277</v>
      </c>
      <c r="K145" s="65"/>
      <c r="L145" s="474">
        <v>2.5</v>
      </c>
      <c r="M145" s="472">
        <v>5.2</v>
      </c>
      <c r="N145" s="473">
        <f t="shared" si="81"/>
        <v>14.05</v>
      </c>
      <c r="O145" s="448">
        <f t="shared" si="82"/>
        <v>0.0014333005187425725</v>
      </c>
      <c r="P145" s="509"/>
      <c r="Q145" s="506"/>
      <c r="R145" s="512"/>
      <c r="S145" s="506"/>
      <c r="T145" s="512"/>
      <c r="U145" s="506"/>
      <c r="V145" s="517"/>
      <c r="W145" s="515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8"/>
      <c r="BD145" s="338"/>
      <c r="BE145" s="338"/>
      <c r="BF145" s="338"/>
    </row>
    <row r="146" spans="1:58" ht="11.25" customHeight="1" thickBot="1">
      <c r="A146" s="424">
        <v>56000</v>
      </c>
      <c r="B146" s="425" t="s">
        <v>105</v>
      </c>
      <c r="C146" s="460"/>
      <c r="D146" s="461"/>
      <c r="E146" s="462"/>
      <c r="F146" s="463"/>
      <c r="G146" s="462">
        <v>0</v>
      </c>
      <c r="H146" s="463">
        <f t="shared" si="83"/>
        <v>0</v>
      </c>
      <c r="I146" s="464">
        <v>2838.5899999999997</v>
      </c>
      <c r="J146" s="465">
        <f t="shared" si="80"/>
        <v>0.0006682543031711328</v>
      </c>
      <c r="K146" s="65"/>
      <c r="L146" s="490">
        <v>2.5</v>
      </c>
      <c r="M146" s="491">
        <v>2.5</v>
      </c>
      <c r="N146" s="492">
        <f t="shared" si="81"/>
        <v>10</v>
      </c>
      <c r="O146" s="463">
        <f t="shared" si="82"/>
        <v>0.0010201427179662437</v>
      </c>
      <c r="P146" s="519"/>
      <c r="Q146" s="520"/>
      <c r="R146" s="521"/>
      <c r="S146" s="520"/>
      <c r="T146" s="521"/>
      <c r="U146" s="520"/>
      <c r="V146" s="522"/>
      <c r="W146" s="523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8"/>
      <c r="BF146" s="338"/>
    </row>
    <row r="147" spans="7:58" ht="15">
      <c r="G147" s="353"/>
      <c r="H147" s="29"/>
      <c r="L147" s="348"/>
      <c r="M147" s="348"/>
      <c r="N147" s="348"/>
      <c r="O147" s="349"/>
      <c r="T147" s="343"/>
      <c r="U147" s="343"/>
      <c r="V147" s="343"/>
      <c r="W147" s="343"/>
      <c r="AG147" s="338"/>
      <c r="AH147" s="338"/>
      <c r="AI147" s="338"/>
      <c r="AJ147" s="338"/>
      <c r="AK147" s="338"/>
      <c r="AL147" s="338"/>
      <c r="AM147" s="338"/>
      <c r="AN147" s="338"/>
      <c r="BE147" s="338"/>
      <c r="BF147" s="338"/>
    </row>
  </sheetData>
  <sheetProtection/>
  <mergeCells count="39">
    <mergeCell ref="AO5:AT5"/>
    <mergeCell ref="AG5:AL5"/>
    <mergeCell ref="Y4:BD4"/>
    <mergeCell ref="BF4:BF6"/>
    <mergeCell ref="BG4:BG6"/>
    <mergeCell ref="BC5:BD6"/>
    <mergeCell ref="AI6:AJ6"/>
    <mergeCell ref="P5:U5"/>
    <mergeCell ref="V5:W6"/>
    <mergeCell ref="AW5:BB5"/>
    <mergeCell ref="AS6:AT6"/>
    <mergeCell ref="AW6:AX6"/>
    <mergeCell ref="AY6:AZ6"/>
    <mergeCell ref="AU5:AV6"/>
    <mergeCell ref="BA6:BB6"/>
    <mergeCell ref="P6:Q6"/>
    <mergeCell ref="R6:S6"/>
    <mergeCell ref="T6:U6"/>
    <mergeCell ref="AO6:AP6"/>
    <mergeCell ref="AQ6:AR6"/>
    <mergeCell ref="AA6:AB6"/>
    <mergeCell ref="AC6:AD6"/>
    <mergeCell ref="AG6:AH6"/>
    <mergeCell ref="O5:O6"/>
    <mergeCell ref="L5:N5"/>
    <mergeCell ref="AM5:AN6"/>
    <mergeCell ref="A8:B8"/>
    <mergeCell ref="Y6:Z6"/>
    <mergeCell ref="Y5:AD5"/>
    <mergeCell ref="AE5:AF6"/>
    <mergeCell ref="A7:B7"/>
    <mergeCell ref="AK6:AL6"/>
    <mergeCell ref="A4:B6"/>
    <mergeCell ref="C4:J4"/>
    <mergeCell ref="C5:D6"/>
    <mergeCell ref="E5:F6"/>
    <mergeCell ref="G5:H6"/>
    <mergeCell ref="L4:W4"/>
    <mergeCell ref="I5:J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3"/>
  <ignoredErrors>
    <ignoredError sqref="S36:T36 U36 V37:V6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.421875" style="35" customWidth="1"/>
    <col min="2" max="2" width="48.8515625" style="35" customWidth="1"/>
    <col min="3" max="3" width="11.57421875" style="35" customWidth="1"/>
    <col min="4" max="4" width="11.421875" style="35" bestFit="1" customWidth="1"/>
    <col min="5" max="16384" width="9.140625" style="35" customWidth="1"/>
  </cols>
  <sheetData>
    <row r="2" spans="1:3" s="34" customFormat="1" ht="39.75" customHeight="1">
      <c r="A2" s="33"/>
      <c r="B2" s="988" t="s">
        <v>315</v>
      </c>
      <c r="C2" s="988"/>
    </row>
    <row r="3" spans="1:3" s="34" customFormat="1" ht="15" customHeight="1">
      <c r="A3" s="33"/>
      <c r="B3" s="989" t="s">
        <v>316</v>
      </c>
      <c r="C3" s="989"/>
    </row>
    <row r="4" spans="2:3" ht="12.75" thickBot="1">
      <c r="B4" s="33"/>
      <c r="C4" s="36"/>
    </row>
    <row r="5" spans="2:3" ht="12.75" customHeight="1">
      <c r="B5" s="986" t="s">
        <v>109</v>
      </c>
      <c r="C5" s="984" t="s">
        <v>6</v>
      </c>
    </row>
    <row r="6" spans="2:3" ht="12.75" customHeight="1">
      <c r="B6" s="987"/>
      <c r="C6" s="985"/>
    </row>
    <row r="7" spans="2:5" ht="12.75" customHeight="1">
      <c r="B7" s="410" t="s">
        <v>71</v>
      </c>
      <c r="C7" s="411">
        <f>C8+C13+C16</f>
        <v>1</v>
      </c>
      <c r="E7"/>
    </row>
    <row r="8" spans="2:5" ht="12.75" customHeight="1">
      <c r="B8" s="416" t="s">
        <v>301</v>
      </c>
      <c r="C8" s="417">
        <f>SUM(C9:C12)</f>
        <v>0.39</v>
      </c>
      <c r="E8"/>
    </row>
    <row r="9" spans="2:5" ht="12.75" customHeight="1">
      <c r="B9" s="412" t="s">
        <v>111</v>
      </c>
      <c r="C9" s="413">
        <v>0.293</v>
      </c>
      <c r="E9"/>
    </row>
    <row r="10" spans="2:5" ht="12.75" customHeight="1">
      <c r="B10" s="412" t="s">
        <v>60</v>
      </c>
      <c r="C10" s="67">
        <v>0.017</v>
      </c>
      <c r="E10"/>
    </row>
    <row r="11" spans="2:5" ht="12.75" customHeight="1">
      <c r="B11" s="412" t="s">
        <v>61</v>
      </c>
      <c r="C11" s="413">
        <v>0.05</v>
      </c>
      <c r="E11"/>
    </row>
    <row r="12" spans="2:5" ht="12.75" customHeight="1">
      <c r="B12" s="412" t="s">
        <v>306</v>
      </c>
      <c r="C12" s="413">
        <v>0.03</v>
      </c>
      <c r="E12"/>
    </row>
    <row r="13" spans="2:5" ht="12.75" customHeight="1">
      <c r="B13" s="418" t="s">
        <v>302</v>
      </c>
      <c r="C13" s="419">
        <f>SUM(C14:C15)</f>
        <v>0.34</v>
      </c>
      <c r="E13"/>
    </row>
    <row r="14" spans="2:5" ht="12.75" customHeight="1">
      <c r="B14" s="412" t="s">
        <v>63</v>
      </c>
      <c r="C14" s="413">
        <v>0.02</v>
      </c>
      <c r="E14"/>
    </row>
    <row r="15" spans="2:5" ht="12.75" customHeight="1">
      <c r="B15" s="412" t="s">
        <v>112</v>
      </c>
      <c r="C15" s="413">
        <v>0.32</v>
      </c>
      <c r="E15"/>
    </row>
    <row r="16" spans="2:5" ht="12.75" customHeight="1">
      <c r="B16" s="420" t="s">
        <v>113</v>
      </c>
      <c r="C16" s="421">
        <f>SUM(C17:C20)</f>
        <v>0.27</v>
      </c>
      <c r="E16"/>
    </row>
    <row r="17" spans="2:5" ht="23.25" customHeight="1">
      <c r="B17" s="412" t="s">
        <v>114</v>
      </c>
      <c r="C17" s="413">
        <v>0.02</v>
      </c>
      <c r="E17"/>
    </row>
    <row r="18" spans="2:5" ht="24" customHeight="1">
      <c r="B18" s="412" t="s">
        <v>115</v>
      </c>
      <c r="C18" s="413">
        <v>0.03</v>
      </c>
      <c r="E18"/>
    </row>
    <row r="19" spans="2:5" ht="12.75" customHeight="1">
      <c r="B19" s="412" t="s">
        <v>116</v>
      </c>
      <c r="C19" s="413">
        <v>0.11</v>
      </c>
      <c r="E19"/>
    </row>
    <row r="20" spans="2:5" ht="12.75" customHeight="1" thickBot="1">
      <c r="B20" s="414" t="s">
        <v>117</v>
      </c>
      <c r="C20" s="415">
        <v>0.11</v>
      </c>
      <c r="E20"/>
    </row>
    <row r="21" spans="2:5" ht="12.75" customHeight="1">
      <c r="B21" s="37"/>
      <c r="C21" s="38"/>
      <c r="E21"/>
    </row>
    <row r="22" spans="2:3" ht="12.75" customHeight="1">
      <c r="B22" s="39"/>
      <c r="C22" s="39"/>
    </row>
  </sheetData>
  <sheetProtection/>
  <mergeCells count="4">
    <mergeCell ref="C5:C6"/>
    <mergeCell ref="B5:B6"/>
    <mergeCell ref="B2:C2"/>
    <mergeCell ref="B3:C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="87" zoomScaleNormal="87" zoomScalePageLayoutView="0" workbookViewId="0" topLeftCell="A1">
      <selection activeCell="A2" sqref="A2"/>
    </sheetView>
  </sheetViews>
  <sheetFormatPr defaultColWidth="9.140625" defaultRowHeight="15"/>
  <cols>
    <col min="1" max="1" width="9.28125" style="58" bestFit="1" customWidth="1"/>
    <col min="2" max="2" width="54.28125" style="58" customWidth="1"/>
    <col min="3" max="3" width="11.57421875" style="58" customWidth="1"/>
    <col min="4" max="4" width="13.28125" style="58" customWidth="1"/>
    <col min="5" max="5" width="15.28125" style="58" customWidth="1"/>
    <col min="6" max="6" width="9.140625" style="58" customWidth="1"/>
    <col min="7" max="7" width="48.421875" style="58" customWidth="1"/>
    <col min="8" max="16384" width="9.140625" style="58" customWidth="1"/>
  </cols>
  <sheetData>
    <row r="1" spans="1:5" ht="19.5">
      <c r="A1" s="990" t="s">
        <v>392</v>
      </c>
      <c r="B1" s="990"/>
      <c r="C1" s="990"/>
      <c r="D1" s="990"/>
      <c r="E1" s="990"/>
    </row>
    <row r="2" spans="1:5" ht="15.75" customHeight="1">
      <c r="A2" s="252"/>
      <c r="B2" s="252"/>
      <c r="C2" s="252"/>
      <c r="D2" s="252"/>
      <c r="E2" s="252"/>
    </row>
    <row r="3" spans="1:5" ht="15">
      <c r="A3" s="310" t="s">
        <v>178</v>
      </c>
      <c r="B3" s="253"/>
      <c r="C3" s="253"/>
      <c r="D3" s="253"/>
      <c r="E3" s="253"/>
    </row>
    <row r="4" spans="1:5" ht="15.75" thickBot="1">
      <c r="A4" s="260"/>
      <c r="B4" s="260"/>
      <c r="C4" s="260"/>
      <c r="D4" s="261"/>
      <c r="E4" s="260"/>
    </row>
    <row r="5" spans="1:6" ht="26.25" thickBot="1">
      <c r="A5" s="59" t="s">
        <v>175</v>
      </c>
      <c r="B5" s="60" t="s">
        <v>176</v>
      </c>
      <c r="C5" s="60" t="s">
        <v>177</v>
      </c>
      <c r="D5" s="262" t="s">
        <v>187</v>
      </c>
      <c r="E5" s="263" t="s">
        <v>295</v>
      </c>
      <c r="F5" s="311"/>
    </row>
    <row r="6" spans="1:5" ht="12.75" customHeight="1">
      <c r="A6" s="307">
        <v>11000</v>
      </c>
      <c r="B6" s="308" t="s">
        <v>144</v>
      </c>
      <c r="C6" s="307">
        <v>3088</v>
      </c>
      <c r="D6" s="312">
        <f aca="true" t="shared" si="0" ref="D6:D31">ROUND(C6*$D$34/$C$32,0)</f>
        <v>256432</v>
      </c>
      <c r="E6" s="313">
        <f>ROUNDDOWN(D6/4,0)</f>
        <v>64108</v>
      </c>
    </row>
    <row r="7" spans="1:5" ht="12.75" customHeight="1">
      <c r="A7" s="307">
        <v>12000</v>
      </c>
      <c r="B7" s="308" t="s">
        <v>145</v>
      </c>
      <c r="C7" s="307">
        <v>343</v>
      </c>
      <c r="D7" s="314">
        <f t="shared" si="0"/>
        <v>28483</v>
      </c>
      <c r="E7" s="315">
        <f aca="true" t="shared" si="1" ref="E7:E31">ROUNDDOWN(D7/4,0)</f>
        <v>7120</v>
      </c>
    </row>
    <row r="8" spans="1:5" ht="12.75" customHeight="1">
      <c r="A8" s="307">
        <v>13000</v>
      </c>
      <c r="B8" s="308" t="s">
        <v>146</v>
      </c>
      <c r="C8" s="307">
        <v>57</v>
      </c>
      <c r="D8" s="314">
        <f t="shared" si="0"/>
        <v>4733</v>
      </c>
      <c r="E8" s="315">
        <f t="shared" si="1"/>
        <v>1183</v>
      </c>
    </row>
    <row r="9" spans="1:5" ht="12.75" customHeight="1">
      <c r="A9" s="307">
        <v>14000</v>
      </c>
      <c r="B9" s="308" t="s">
        <v>147</v>
      </c>
      <c r="C9" s="307">
        <v>1725</v>
      </c>
      <c r="D9" s="314">
        <f t="shared" si="0"/>
        <v>143246</v>
      </c>
      <c r="E9" s="315">
        <f t="shared" si="1"/>
        <v>35811</v>
      </c>
    </row>
    <row r="10" spans="1:5" ht="12.75" customHeight="1">
      <c r="A10" s="307">
        <v>15000</v>
      </c>
      <c r="B10" s="308" t="s">
        <v>148</v>
      </c>
      <c r="C10" s="307">
        <v>689</v>
      </c>
      <c r="D10" s="314">
        <f t="shared" si="0"/>
        <v>57215</v>
      </c>
      <c r="E10" s="315">
        <f t="shared" si="1"/>
        <v>14303</v>
      </c>
    </row>
    <row r="11" spans="1:5" ht="12.75" customHeight="1">
      <c r="A11" s="307">
        <v>16000</v>
      </c>
      <c r="B11" s="308" t="s">
        <v>149</v>
      </c>
      <c r="C11" s="307">
        <v>160</v>
      </c>
      <c r="D11" s="314">
        <f t="shared" si="0"/>
        <v>13287</v>
      </c>
      <c r="E11" s="315">
        <f t="shared" si="1"/>
        <v>3321</v>
      </c>
    </row>
    <row r="12" spans="1:5" ht="12.75" customHeight="1">
      <c r="A12" s="307">
        <v>17000</v>
      </c>
      <c r="B12" s="308" t="s">
        <v>150</v>
      </c>
      <c r="C12" s="307">
        <v>136</v>
      </c>
      <c r="D12" s="314">
        <f t="shared" si="0"/>
        <v>11294</v>
      </c>
      <c r="E12" s="315">
        <f t="shared" si="1"/>
        <v>2823</v>
      </c>
    </row>
    <row r="13" spans="1:5" ht="12.75" customHeight="1">
      <c r="A13" s="307">
        <v>18000</v>
      </c>
      <c r="B13" s="308" t="s">
        <v>151</v>
      </c>
      <c r="C13" s="307">
        <v>56</v>
      </c>
      <c r="D13" s="314">
        <f t="shared" si="0"/>
        <v>4650</v>
      </c>
      <c r="E13" s="315">
        <f t="shared" si="1"/>
        <v>1162</v>
      </c>
    </row>
    <row r="14" spans="1:5" ht="12.75" customHeight="1">
      <c r="A14" s="307">
        <v>19000</v>
      </c>
      <c r="B14" s="308" t="s">
        <v>152</v>
      </c>
      <c r="C14" s="307">
        <v>78</v>
      </c>
      <c r="D14" s="314">
        <f t="shared" si="0"/>
        <v>6477</v>
      </c>
      <c r="E14" s="315">
        <f t="shared" si="1"/>
        <v>1619</v>
      </c>
    </row>
    <row r="15" spans="1:5" ht="12.75" customHeight="1">
      <c r="A15" s="307">
        <v>21000</v>
      </c>
      <c r="B15" s="308" t="s">
        <v>153</v>
      </c>
      <c r="C15" s="307">
        <v>1166</v>
      </c>
      <c r="D15" s="314">
        <f t="shared" si="0"/>
        <v>96826</v>
      </c>
      <c r="E15" s="315">
        <f t="shared" si="1"/>
        <v>24206</v>
      </c>
    </row>
    <row r="16" spans="1:5" ht="12.75" customHeight="1">
      <c r="A16" s="307">
        <v>22000</v>
      </c>
      <c r="B16" s="308" t="s">
        <v>154</v>
      </c>
      <c r="C16" s="307">
        <v>478</v>
      </c>
      <c r="D16" s="314">
        <f t="shared" si="0"/>
        <v>39694</v>
      </c>
      <c r="E16" s="315">
        <f t="shared" si="1"/>
        <v>9923</v>
      </c>
    </row>
    <row r="17" spans="1:5" ht="12.75" customHeight="1">
      <c r="A17" s="307">
        <v>23000</v>
      </c>
      <c r="B17" s="308" t="s">
        <v>155</v>
      </c>
      <c r="C17" s="307">
        <v>377</v>
      </c>
      <c r="D17" s="314">
        <f t="shared" si="0"/>
        <v>31307</v>
      </c>
      <c r="E17" s="315">
        <f t="shared" si="1"/>
        <v>7826</v>
      </c>
    </row>
    <row r="18" spans="1:5" ht="12.75" customHeight="1">
      <c r="A18" s="307">
        <v>24000</v>
      </c>
      <c r="B18" s="308" t="s">
        <v>156</v>
      </c>
      <c r="C18" s="307">
        <v>186</v>
      </c>
      <c r="D18" s="314">
        <f t="shared" si="0"/>
        <v>15446</v>
      </c>
      <c r="E18" s="315">
        <f t="shared" si="1"/>
        <v>3861</v>
      </c>
    </row>
    <row r="19" spans="1:5" ht="12.75" customHeight="1">
      <c r="A19" s="307">
        <v>25000</v>
      </c>
      <c r="B19" s="308" t="s">
        <v>157</v>
      </c>
      <c r="C19" s="307">
        <v>226</v>
      </c>
      <c r="D19" s="314">
        <f t="shared" si="0"/>
        <v>18767</v>
      </c>
      <c r="E19" s="315">
        <f t="shared" si="1"/>
        <v>4691</v>
      </c>
    </row>
    <row r="20" spans="1:5" ht="12.75" customHeight="1">
      <c r="A20" s="307">
        <v>26000</v>
      </c>
      <c r="B20" s="308" t="s">
        <v>158</v>
      </c>
      <c r="C20" s="307">
        <v>1120</v>
      </c>
      <c r="D20" s="314">
        <f t="shared" si="0"/>
        <v>93006</v>
      </c>
      <c r="E20" s="315">
        <f t="shared" si="1"/>
        <v>23251</v>
      </c>
    </row>
    <row r="21" spans="1:5" ht="12.75" customHeight="1">
      <c r="A21" s="307">
        <v>27000</v>
      </c>
      <c r="B21" s="308" t="s">
        <v>159</v>
      </c>
      <c r="C21" s="307">
        <v>603</v>
      </c>
      <c r="D21" s="314">
        <f t="shared" si="0"/>
        <v>50074</v>
      </c>
      <c r="E21" s="315">
        <f t="shared" si="1"/>
        <v>12518</v>
      </c>
    </row>
    <row r="22" spans="1:5" ht="12.75" customHeight="1">
      <c r="A22" s="307">
        <v>28000</v>
      </c>
      <c r="B22" s="308" t="s">
        <v>160</v>
      </c>
      <c r="C22" s="307">
        <v>237</v>
      </c>
      <c r="D22" s="314">
        <f t="shared" si="0"/>
        <v>19681</v>
      </c>
      <c r="E22" s="315">
        <f t="shared" si="1"/>
        <v>4920</v>
      </c>
    </row>
    <row r="23" spans="1:5" ht="12.75" customHeight="1">
      <c r="A23" s="307">
        <v>31000</v>
      </c>
      <c r="B23" s="308" t="s">
        <v>161</v>
      </c>
      <c r="C23" s="307">
        <v>310</v>
      </c>
      <c r="D23" s="314">
        <f t="shared" si="0"/>
        <v>25743</v>
      </c>
      <c r="E23" s="315">
        <f t="shared" si="1"/>
        <v>6435</v>
      </c>
    </row>
    <row r="24" spans="1:5" ht="12.75" customHeight="1">
      <c r="A24" s="307">
        <v>41000</v>
      </c>
      <c r="B24" s="308" t="s">
        <v>162</v>
      </c>
      <c r="C24" s="307">
        <v>536</v>
      </c>
      <c r="D24" s="314">
        <f t="shared" si="0"/>
        <v>44510</v>
      </c>
      <c r="E24" s="315">
        <f t="shared" si="1"/>
        <v>11127</v>
      </c>
    </row>
    <row r="25" spans="1:5" ht="12.75" customHeight="1">
      <c r="A25" s="307">
        <v>43000</v>
      </c>
      <c r="B25" s="308" t="s">
        <v>163</v>
      </c>
      <c r="C25" s="307">
        <v>336</v>
      </c>
      <c r="D25" s="314">
        <f>ROUND(C25*$D$34/$C$32,0)</f>
        <v>27902</v>
      </c>
      <c r="E25" s="315">
        <f t="shared" si="1"/>
        <v>6975</v>
      </c>
    </row>
    <row r="26" spans="1:5" ht="12.75" customHeight="1">
      <c r="A26" s="307">
        <v>51000</v>
      </c>
      <c r="B26" s="308" t="s">
        <v>164</v>
      </c>
      <c r="C26" s="307">
        <v>52</v>
      </c>
      <c r="D26" s="314">
        <f t="shared" si="0"/>
        <v>4318</v>
      </c>
      <c r="E26" s="315">
        <f t="shared" si="1"/>
        <v>1079</v>
      </c>
    </row>
    <row r="27" spans="1:5" ht="12.75" customHeight="1">
      <c r="A27" s="307">
        <v>52000</v>
      </c>
      <c r="B27" s="308" t="s">
        <v>165</v>
      </c>
      <c r="C27" s="307">
        <v>16</v>
      </c>
      <c r="D27" s="314">
        <f t="shared" si="0"/>
        <v>1329</v>
      </c>
      <c r="E27" s="315">
        <f t="shared" si="1"/>
        <v>332</v>
      </c>
    </row>
    <row r="28" spans="1:5" ht="12.75" customHeight="1">
      <c r="A28" s="307">
        <v>53000</v>
      </c>
      <c r="B28" s="308" t="s">
        <v>166</v>
      </c>
      <c r="C28" s="307">
        <v>17</v>
      </c>
      <c r="D28" s="314">
        <f t="shared" si="0"/>
        <v>1412</v>
      </c>
      <c r="E28" s="315">
        <f t="shared" si="1"/>
        <v>353</v>
      </c>
    </row>
    <row r="29" spans="1:5" ht="12.75" customHeight="1">
      <c r="A29" s="307">
        <v>54000</v>
      </c>
      <c r="B29" s="308" t="s">
        <v>167</v>
      </c>
      <c r="C29" s="307">
        <v>36</v>
      </c>
      <c r="D29" s="314">
        <f t="shared" si="0"/>
        <v>2989</v>
      </c>
      <c r="E29" s="315">
        <f t="shared" si="1"/>
        <v>747</v>
      </c>
    </row>
    <row r="30" spans="1:5" ht="12.75" customHeight="1">
      <c r="A30" s="307">
        <v>55000</v>
      </c>
      <c r="B30" s="308" t="s">
        <v>168</v>
      </c>
      <c r="C30" s="307">
        <v>0</v>
      </c>
      <c r="D30" s="314">
        <f t="shared" si="0"/>
        <v>0</v>
      </c>
      <c r="E30" s="315">
        <f t="shared" si="1"/>
        <v>0</v>
      </c>
    </row>
    <row r="31" spans="1:5" ht="12.75" customHeight="1" thickBot="1">
      <c r="A31" s="316">
        <v>56000</v>
      </c>
      <c r="B31" s="317" t="s">
        <v>169</v>
      </c>
      <c r="C31" s="316">
        <v>0</v>
      </c>
      <c r="D31" s="318">
        <f t="shared" si="0"/>
        <v>0</v>
      </c>
      <c r="E31" s="319">
        <f t="shared" si="1"/>
        <v>0</v>
      </c>
    </row>
    <row r="32" spans="1:5" ht="15.75" thickBot="1">
      <c r="A32" s="61" t="s">
        <v>71</v>
      </c>
      <c r="B32" s="62"/>
      <c r="C32" s="63">
        <f>SUM(C6:C31)</f>
        <v>12028</v>
      </c>
      <c r="D32" s="63"/>
      <c r="E32" s="64">
        <f>SUM(E6:E31)</f>
        <v>249694</v>
      </c>
    </row>
    <row r="33" spans="1:5" ht="15.75" thickBot="1">
      <c r="A33" s="260"/>
      <c r="B33" s="260"/>
      <c r="C33" s="260"/>
      <c r="D33" s="260"/>
      <c r="E33" s="260"/>
    </row>
    <row r="34" spans="1:5" ht="15.75" thickBot="1">
      <c r="A34" s="320"/>
      <c r="B34" s="321" t="s">
        <v>179</v>
      </c>
      <c r="C34" s="322"/>
      <c r="D34" s="64">
        <f>'Tab.1_Bilance'!L22</f>
        <v>998821</v>
      </c>
      <c r="E34" s="320"/>
    </row>
    <row r="35" spans="1:5" ht="24" customHeight="1" thickBot="1">
      <c r="A35" s="260"/>
      <c r="B35" s="260"/>
      <c r="C35" s="260"/>
      <c r="D35" s="260"/>
      <c r="E35" s="260"/>
    </row>
    <row r="36" spans="1:5" ht="15.75" thickBot="1">
      <c r="A36" s="991" t="s">
        <v>170</v>
      </c>
      <c r="B36" s="992"/>
      <c r="C36" s="265">
        <v>2010</v>
      </c>
      <c r="D36" s="265">
        <v>2011</v>
      </c>
      <c r="E36" s="266">
        <v>2012</v>
      </c>
    </row>
    <row r="37" spans="1:5" ht="12.75" customHeight="1">
      <c r="A37" s="258" t="s">
        <v>171</v>
      </c>
      <c r="B37" s="259"/>
      <c r="C37" s="256">
        <v>93380</v>
      </c>
      <c r="D37" s="256">
        <v>89428.80162836061</v>
      </c>
      <c r="E37" s="547">
        <f>D34/C32*1000</f>
        <v>83041.32025274361</v>
      </c>
    </row>
    <row r="38" spans="1:5" ht="12.75" customHeight="1">
      <c r="A38" s="281" t="s">
        <v>396</v>
      </c>
      <c r="B38" s="279"/>
      <c r="C38" s="280"/>
      <c r="D38" s="280">
        <f>D37/C37-1</f>
        <v>-0.04231311171170904</v>
      </c>
      <c r="E38" s="282">
        <f>E37/D37-1</f>
        <v>-0.07142532673267243</v>
      </c>
    </row>
    <row r="39" spans="1:5" ht="12.75" customHeight="1">
      <c r="A39" s="283" t="s">
        <v>143</v>
      </c>
      <c r="B39" s="278"/>
      <c r="C39" s="267">
        <v>10851</v>
      </c>
      <c r="D39" s="267">
        <v>11791</v>
      </c>
      <c r="E39" s="284">
        <f>C32</f>
        <v>12028</v>
      </c>
    </row>
    <row r="40" spans="1:5" ht="12.75" customHeight="1">
      <c r="A40" s="281" t="s">
        <v>172</v>
      </c>
      <c r="B40" s="279"/>
      <c r="C40" s="280"/>
      <c r="D40" s="280">
        <f>D39/C39-1</f>
        <v>0.08662796055663069</v>
      </c>
      <c r="E40" s="282">
        <f>E39/D39-1</f>
        <v>0.020100076329403693</v>
      </c>
    </row>
    <row r="41" spans="1:5" s="323" customFormat="1" ht="12.75" customHeight="1">
      <c r="A41" s="285" t="s">
        <v>173</v>
      </c>
      <c r="B41" s="278"/>
      <c r="C41" s="267">
        <v>1013279</v>
      </c>
      <c r="D41" s="267">
        <v>1054455</v>
      </c>
      <c r="E41" s="284">
        <f>D34</f>
        <v>998821</v>
      </c>
    </row>
    <row r="42" spans="1:5" ht="12.75" customHeight="1" thickBot="1">
      <c r="A42" s="286" t="s">
        <v>174</v>
      </c>
      <c r="B42" s="287"/>
      <c r="C42" s="268"/>
      <c r="D42" s="268">
        <f>D41/C41-1</f>
        <v>0.040636389385351857</v>
      </c>
      <c r="E42" s="269">
        <f>E41/D41-1</f>
        <v>-0.052760904922448115</v>
      </c>
    </row>
    <row r="43" spans="1:5" ht="15">
      <c r="A43" s="260"/>
      <c r="B43" s="260"/>
      <c r="C43" s="260"/>
      <c r="D43" s="260"/>
      <c r="E43" s="260"/>
    </row>
    <row r="44" spans="1:5" ht="15">
      <c r="A44" s="260"/>
      <c r="B44" s="260"/>
      <c r="C44" s="260"/>
      <c r="D44" s="260"/>
      <c r="E44" s="260"/>
    </row>
    <row r="45" spans="1:5" ht="15">
      <c r="A45" s="260"/>
      <c r="B45" s="260"/>
      <c r="C45" s="260"/>
      <c r="D45" s="260"/>
      <c r="E45" s="260"/>
    </row>
    <row r="46" spans="1:5" ht="15">
      <c r="A46" s="260"/>
      <c r="B46" s="260"/>
      <c r="C46" s="260"/>
      <c r="D46" s="260"/>
      <c r="E46" s="260"/>
    </row>
    <row r="47" spans="1:5" ht="15">
      <c r="A47" s="260"/>
      <c r="B47" s="260"/>
      <c r="C47" s="260"/>
      <c r="D47" s="260"/>
      <c r="E47" s="260"/>
    </row>
    <row r="48" spans="1:5" ht="15">
      <c r="A48" s="260"/>
      <c r="B48" s="260"/>
      <c r="C48" s="260"/>
      <c r="D48" s="260"/>
      <c r="E48" s="260"/>
    </row>
    <row r="49" spans="1:5" ht="15">
      <c r="A49" s="260"/>
      <c r="B49" s="260"/>
      <c r="C49" s="260"/>
      <c r="D49" s="260"/>
      <c r="E49" s="260"/>
    </row>
    <row r="50" spans="1:5" ht="15">
      <c r="A50" s="260"/>
      <c r="B50" s="260"/>
      <c r="C50" s="260"/>
      <c r="D50" s="260"/>
      <c r="E50" s="260"/>
    </row>
    <row r="51" spans="1:5" ht="15">
      <c r="A51" s="260"/>
      <c r="B51" s="260"/>
      <c r="C51" s="260"/>
      <c r="D51" s="260"/>
      <c r="E51" s="260"/>
    </row>
    <row r="52" spans="1:5" ht="15">
      <c r="A52" s="260"/>
      <c r="B52" s="260"/>
      <c r="C52" s="260"/>
      <c r="D52" s="260"/>
      <c r="E52" s="260"/>
    </row>
    <row r="53" spans="1:5" ht="15">
      <c r="A53" s="253"/>
      <c r="B53" s="253"/>
      <c r="C53" s="253"/>
      <c r="D53" s="253"/>
      <c r="E53" s="253"/>
    </row>
    <row r="54" spans="1:5" ht="15">
      <c r="A54" s="253"/>
      <c r="B54" s="253"/>
      <c r="C54" s="253"/>
      <c r="D54" s="253"/>
      <c r="E54" s="253"/>
    </row>
    <row r="55" spans="1:5" ht="15">
      <c r="A55" s="253"/>
      <c r="B55" s="253"/>
      <c r="C55" s="253"/>
      <c r="D55" s="253"/>
      <c r="E55" s="253"/>
    </row>
  </sheetData>
  <sheetProtection/>
  <mergeCells count="2">
    <mergeCell ref="A1:E1"/>
    <mergeCell ref="A36:B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="89" zoomScaleNormal="89" zoomScalePageLayoutView="0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2" width="12.8515625" style="0" customWidth="1"/>
    <col min="3" max="3" width="12.7109375" style="0" customWidth="1"/>
    <col min="4" max="4" width="10.57421875" style="0" customWidth="1"/>
    <col min="5" max="5" width="12.7109375" style="0" customWidth="1"/>
    <col min="6" max="6" width="12.8515625" style="0" customWidth="1"/>
  </cols>
  <sheetData>
    <row r="1" spans="1:7" ht="43.5" customHeight="1">
      <c r="A1" s="993" t="s">
        <v>391</v>
      </c>
      <c r="B1" s="993"/>
      <c r="C1" s="993"/>
      <c r="D1" s="993"/>
      <c r="E1" s="993"/>
      <c r="F1" s="993"/>
      <c r="G1" s="254"/>
    </row>
    <row r="2" spans="1:7" ht="15">
      <c r="A2" s="40"/>
      <c r="B2" s="40"/>
      <c r="C2" s="40"/>
      <c r="D2" s="40"/>
      <c r="E2" s="40"/>
      <c r="F2" s="40"/>
      <c r="G2" s="254"/>
    </row>
    <row r="3" spans="1:7" ht="15.75" thickBot="1">
      <c r="A3" s="41"/>
      <c r="B3" s="41"/>
      <c r="C3" s="41"/>
      <c r="D3" s="41"/>
      <c r="E3" s="41"/>
      <c r="F3" s="41"/>
      <c r="G3" s="254"/>
    </row>
    <row r="4" spans="1:7" ht="15">
      <c r="A4" s="42" t="s">
        <v>118</v>
      </c>
      <c r="B4" s="43" t="s">
        <v>119</v>
      </c>
      <c r="C4" s="44"/>
      <c r="D4" s="44"/>
      <c r="E4" s="45"/>
      <c r="F4" s="46" t="s">
        <v>120</v>
      </c>
      <c r="G4" s="264"/>
    </row>
    <row r="5" spans="1:7" ht="26.25" thickBot="1">
      <c r="A5" s="47"/>
      <c r="B5" s="48" t="s">
        <v>121</v>
      </c>
      <c r="C5" s="48" t="s">
        <v>122</v>
      </c>
      <c r="D5" s="48" t="s">
        <v>123</v>
      </c>
      <c r="E5" s="48" t="s">
        <v>124</v>
      </c>
      <c r="F5" s="49" t="s">
        <v>110</v>
      </c>
      <c r="G5" s="270"/>
    </row>
    <row r="6" spans="1:7" ht="12.75" customHeight="1">
      <c r="A6" s="50" t="s">
        <v>125</v>
      </c>
      <c r="B6" s="51">
        <v>1015459</v>
      </c>
      <c r="C6" s="51">
        <v>237755</v>
      </c>
      <c r="D6" s="51">
        <f>C6*0.4</f>
        <v>95102</v>
      </c>
      <c r="E6" s="51">
        <f>B6+D6</f>
        <v>1110561</v>
      </c>
      <c r="F6" s="52">
        <f>ROUND(E6*$G$35/$E$32,0)</f>
        <v>19929</v>
      </c>
      <c r="G6" s="270"/>
    </row>
    <row r="7" spans="1:7" ht="12.75" customHeight="1">
      <c r="A7" s="53" t="s">
        <v>81</v>
      </c>
      <c r="B7" s="51">
        <v>421766</v>
      </c>
      <c r="C7" s="51">
        <v>30359</v>
      </c>
      <c r="D7" s="51">
        <f aca="true" t="shared" si="0" ref="D7:D32">C7*0.4</f>
        <v>12143.6</v>
      </c>
      <c r="E7" s="51">
        <f aca="true" t="shared" si="1" ref="E7:E31">B7+D7</f>
        <v>433909.6</v>
      </c>
      <c r="F7" s="52">
        <f aca="true" t="shared" si="2" ref="F7:F31">ROUND(E7*$G$35/$E$32,0)</f>
        <v>7787</v>
      </c>
      <c r="G7" s="270"/>
    </row>
    <row r="8" spans="1:7" ht="12.75" customHeight="1">
      <c r="A8" s="53" t="s">
        <v>126</v>
      </c>
      <c r="B8" s="51">
        <v>31807</v>
      </c>
      <c r="C8" s="51">
        <v>1234</v>
      </c>
      <c r="D8" s="51">
        <f t="shared" si="0"/>
        <v>493.6</v>
      </c>
      <c r="E8" s="51">
        <f t="shared" si="1"/>
        <v>32300.6</v>
      </c>
      <c r="F8" s="52">
        <f t="shared" si="2"/>
        <v>580</v>
      </c>
      <c r="G8" s="270"/>
    </row>
    <row r="9" spans="1:7" ht="12.75" customHeight="1">
      <c r="A9" s="53" t="s">
        <v>83</v>
      </c>
      <c r="B9" s="51">
        <v>1506452</v>
      </c>
      <c r="C9" s="51">
        <v>75372</v>
      </c>
      <c r="D9" s="51">
        <f t="shared" si="0"/>
        <v>30148.800000000003</v>
      </c>
      <c r="E9" s="51">
        <f t="shared" si="1"/>
        <v>1536600.8</v>
      </c>
      <c r="F9" s="52">
        <f t="shared" si="2"/>
        <v>27575</v>
      </c>
      <c r="G9" s="270"/>
    </row>
    <row r="10" spans="1:7" ht="12.75" customHeight="1">
      <c r="A10" s="53" t="s">
        <v>127</v>
      </c>
      <c r="B10" s="51">
        <v>481280</v>
      </c>
      <c r="C10" s="51">
        <v>59451</v>
      </c>
      <c r="D10" s="51">
        <f t="shared" si="0"/>
        <v>23780.4</v>
      </c>
      <c r="E10" s="51">
        <f t="shared" si="1"/>
        <v>505060.4</v>
      </c>
      <c r="F10" s="52">
        <f t="shared" si="2"/>
        <v>9064</v>
      </c>
      <c r="G10" s="270"/>
    </row>
    <row r="11" spans="1:7" ht="12.75" customHeight="1">
      <c r="A11" s="53" t="s">
        <v>128</v>
      </c>
      <c r="B11" s="51">
        <v>0</v>
      </c>
      <c r="C11" s="51">
        <v>0</v>
      </c>
      <c r="D11" s="51">
        <f t="shared" si="0"/>
        <v>0</v>
      </c>
      <c r="E11" s="51">
        <f t="shared" si="1"/>
        <v>0</v>
      </c>
      <c r="F11" s="52">
        <f t="shared" si="2"/>
        <v>0</v>
      </c>
      <c r="G11" s="270"/>
    </row>
    <row r="12" spans="1:7" ht="12.75" customHeight="1">
      <c r="A12" s="53" t="s">
        <v>86</v>
      </c>
      <c r="B12" s="51">
        <v>117217</v>
      </c>
      <c r="C12" s="51">
        <v>12016</v>
      </c>
      <c r="D12" s="51">
        <f t="shared" si="0"/>
        <v>4806.400000000001</v>
      </c>
      <c r="E12" s="51">
        <f t="shared" si="1"/>
        <v>122023.4</v>
      </c>
      <c r="F12" s="52">
        <f t="shared" si="2"/>
        <v>2190</v>
      </c>
      <c r="G12" s="270"/>
    </row>
    <row r="13" spans="1:7" ht="12.75" customHeight="1">
      <c r="A13" s="53" t="s">
        <v>87</v>
      </c>
      <c r="B13" s="51">
        <v>21353</v>
      </c>
      <c r="C13" s="51">
        <v>0</v>
      </c>
      <c r="D13" s="51">
        <f t="shared" si="0"/>
        <v>0</v>
      </c>
      <c r="E13" s="51">
        <f t="shared" si="1"/>
        <v>21353</v>
      </c>
      <c r="F13" s="52">
        <f t="shared" si="2"/>
        <v>383</v>
      </c>
      <c r="G13" s="270"/>
    </row>
    <row r="14" spans="1:7" ht="12.75" customHeight="1">
      <c r="A14" s="53" t="s">
        <v>88</v>
      </c>
      <c r="B14" s="51">
        <v>326063</v>
      </c>
      <c r="C14" s="51">
        <v>11163</v>
      </c>
      <c r="D14" s="51">
        <f t="shared" si="0"/>
        <v>4465.2</v>
      </c>
      <c r="E14" s="51">
        <f t="shared" si="1"/>
        <v>330528.2</v>
      </c>
      <c r="F14" s="52">
        <f t="shared" si="2"/>
        <v>5931</v>
      </c>
      <c r="G14" s="270"/>
    </row>
    <row r="15" spans="1:7" ht="12.75" customHeight="1">
      <c r="A15" s="53" t="s">
        <v>89</v>
      </c>
      <c r="B15" s="51">
        <v>1151115</v>
      </c>
      <c r="C15" s="51">
        <v>198682</v>
      </c>
      <c r="D15" s="51">
        <f t="shared" si="0"/>
        <v>79472.8</v>
      </c>
      <c r="E15" s="51">
        <f t="shared" si="1"/>
        <v>1230587.8</v>
      </c>
      <c r="F15" s="52">
        <f t="shared" si="2"/>
        <v>22083</v>
      </c>
      <c r="G15" s="270"/>
    </row>
    <row r="16" spans="1:7" ht="12.75" customHeight="1">
      <c r="A16" s="53" t="s">
        <v>129</v>
      </c>
      <c r="B16" s="51">
        <v>103106</v>
      </c>
      <c r="C16" s="51">
        <v>26733</v>
      </c>
      <c r="D16" s="51">
        <f t="shared" si="0"/>
        <v>10693.2</v>
      </c>
      <c r="E16" s="51">
        <f t="shared" si="1"/>
        <v>113799.2</v>
      </c>
      <c r="F16" s="52">
        <f t="shared" si="2"/>
        <v>2042</v>
      </c>
      <c r="G16" s="270"/>
    </row>
    <row r="17" spans="1:7" ht="12.75" customHeight="1">
      <c r="A17" s="53" t="s">
        <v>130</v>
      </c>
      <c r="B17" s="51">
        <v>543772</v>
      </c>
      <c r="C17" s="51">
        <v>99159</v>
      </c>
      <c r="D17" s="51">
        <f t="shared" si="0"/>
        <v>39663.600000000006</v>
      </c>
      <c r="E17" s="51">
        <f t="shared" si="1"/>
        <v>583435.6</v>
      </c>
      <c r="F17" s="52">
        <f t="shared" si="2"/>
        <v>10470</v>
      </c>
      <c r="G17" s="270"/>
    </row>
    <row r="18" spans="1:7" ht="12.75" customHeight="1">
      <c r="A18" s="53" t="s">
        <v>92</v>
      </c>
      <c r="B18" s="51">
        <v>234680</v>
      </c>
      <c r="C18" s="51">
        <v>40230</v>
      </c>
      <c r="D18" s="51">
        <f t="shared" si="0"/>
        <v>16092</v>
      </c>
      <c r="E18" s="51">
        <f t="shared" si="1"/>
        <v>250772</v>
      </c>
      <c r="F18" s="52">
        <f t="shared" si="2"/>
        <v>4500</v>
      </c>
      <c r="G18" s="270"/>
    </row>
    <row r="19" spans="1:7" ht="12.75" customHeight="1">
      <c r="A19" s="53" t="s">
        <v>131</v>
      </c>
      <c r="B19" s="51">
        <v>255894</v>
      </c>
      <c r="C19" s="51">
        <v>25850</v>
      </c>
      <c r="D19" s="51">
        <f t="shared" si="0"/>
        <v>10340</v>
      </c>
      <c r="E19" s="51">
        <f t="shared" si="1"/>
        <v>266234</v>
      </c>
      <c r="F19" s="52">
        <f t="shared" si="2"/>
        <v>4778</v>
      </c>
      <c r="G19" s="270"/>
    </row>
    <row r="20" spans="1:7" ht="12.75" customHeight="1">
      <c r="A20" s="53" t="s">
        <v>132</v>
      </c>
      <c r="B20" s="51">
        <v>1655626</v>
      </c>
      <c r="C20" s="51">
        <v>134809</v>
      </c>
      <c r="D20" s="51">
        <f t="shared" si="0"/>
        <v>53923.600000000006</v>
      </c>
      <c r="E20" s="51">
        <f t="shared" si="1"/>
        <v>1709549.6</v>
      </c>
      <c r="F20" s="52">
        <f t="shared" si="2"/>
        <v>30679</v>
      </c>
      <c r="G20" s="270"/>
    </row>
    <row r="21" spans="1:7" ht="12.75" customHeight="1">
      <c r="A21" s="53" t="s">
        <v>133</v>
      </c>
      <c r="B21" s="51">
        <v>472351</v>
      </c>
      <c r="C21" s="51">
        <v>107016</v>
      </c>
      <c r="D21" s="51">
        <f t="shared" si="0"/>
        <v>42806.4</v>
      </c>
      <c r="E21" s="51">
        <f t="shared" si="1"/>
        <v>515157.4</v>
      </c>
      <c r="F21" s="52">
        <f t="shared" si="2"/>
        <v>9245</v>
      </c>
      <c r="G21" s="270"/>
    </row>
    <row r="22" spans="1:7" ht="12.75" customHeight="1">
      <c r="A22" s="53" t="s">
        <v>134</v>
      </c>
      <c r="B22" s="51">
        <v>205005</v>
      </c>
      <c r="C22" s="51">
        <v>30770</v>
      </c>
      <c r="D22" s="51">
        <f t="shared" si="0"/>
        <v>12308</v>
      </c>
      <c r="E22" s="51">
        <f t="shared" si="1"/>
        <v>217313</v>
      </c>
      <c r="F22" s="52">
        <f t="shared" si="2"/>
        <v>3900</v>
      </c>
      <c r="G22" s="270"/>
    </row>
    <row r="23" spans="1:7" ht="12.75" customHeight="1">
      <c r="A23" s="53" t="s">
        <v>97</v>
      </c>
      <c r="B23" s="51">
        <v>363695</v>
      </c>
      <c r="C23" s="51">
        <v>6447</v>
      </c>
      <c r="D23" s="51">
        <f t="shared" si="0"/>
        <v>2578.8</v>
      </c>
      <c r="E23" s="51">
        <f t="shared" si="1"/>
        <v>366273.8</v>
      </c>
      <c r="F23" s="52">
        <f t="shared" si="2"/>
        <v>6573</v>
      </c>
      <c r="G23" s="270"/>
    </row>
    <row r="24" spans="1:7" ht="12.75" customHeight="1">
      <c r="A24" s="53" t="s">
        <v>135</v>
      </c>
      <c r="B24" s="51">
        <v>292301</v>
      </c>
      <c r="C24" s="51">
        <v>3482</v>
      </c>
      <c r="D24" s="51">
        <f t="shared" si="0"/>
        <v>1392.8000000000002</v>
      </c>
      <c r="E24" s="51">
        <f t="shared" si="1"/>
        <v>293693.8</v>
      </c>
      <c r="F24" s="52">
        <f t="shared" si="2"/>
        <v>5270</v>
      </c>
      <c r="G24" s="270"/>
    </row>
    <row r="25" spans="1:7" ht="12.75" customHeight="1">
      <c r="A25" s="53" t="s">
        <v>99</v>
      </c>
      <c r="B25" s="51">
        <v>346517</v>
      </c>
      <c r="C25" s="51">
        <v>27769</v>
      </c>
      <c r="D25" s="51">
        <f t="shared" si="0"/>
        <v>11107.6</v>
      </c>
      <c r="E25" s="51">
        <f t="shared" si="1"/>
        <v>357624.6</v>
      </c>
      <c r="F25" s="52">
        <f t="shared" si="2"/>
        <v>6418</v>
      </c>
      <c r="G25" s="270"/>
    </row>
    <row r="26" spans="1:7" ht="12.75" customHeight="1">
      <c r="A26" s="53" t="s">
        <v>136</v>
      </c>
      <c r="B26" s="51">
        <v>0</v>
      </c>
      <c r="C26" s="51">
        <v>0</v>
      </c>
      <c r="D26" s="51">
        <f t="shared" si="0"/>
        <v>0</v>
      </c>
      <c r="E26" s="51">
        <f t="shared" si="1"/>
        <v>0</v>
      </c>
      <c r="F26" s="52">
        <f t="shared" si="2"/>
        <v>0</v>
      </c>
      <c r="G26" s="270"/>
    </row>
    <row r="27" spans="1:7" ht="12.75" customHeight="1">
      <c r="A27" s="53" t="s">
        <v>137</v>
      </c>
      <c r="B27" s="51">
        <v>0</v>
      </c>
      <c r="C27" s="51">
        <v>0</v>
      </c>
      <c r="D27" s="51">
        <f t="shared" si="0"/>
        <v>0</v>
      </c>
      <c r="E27" s="51">
        <f t="shared" si="1"/>
        <v>0</v>
      </c>
      <c r="F27" s="52">
        <f t="shared" si="2"/>
        <v>0</v>
      </c>
      <c r="G27" s="270"/>
    </row>
    <row r="28" spans="1:7" ht="12.75" customHeight="1">
      <c r="A28" s="53" t="s">
        <v>138</v>
      </c>
      <c r="B28" s="51">
        <v>0</v>
      </c>
      <c r="C28" s="51">
        <v>0</v>
      </c>
      <c r="D28" s="51">
        <f t="shared" si="0"/>
        <v>0</v>
      </c>
      <c r="E28" s="51">
        <f t="shared" si="1"/>
        <v>0</v>
      </c>
      <c r="F28" s="52">
        <f t="shared" si="2"/>
        <v>0</v>
      </c>
      <c r="G28" s="270"/>
    </row>
    <row r="29" spans="1:7" ht="12.75" customHeight="1">
      <c r="A29" s="53" t="s">
        <v>103</v>
      </c>
      <c r="B29" s="51">
        <v>0</v>
      </c>
      <c r="C29" s="51">
        <v>0</v>
      </c>
      <c r="D29" s="51">
        <f t="shared" si="0"/>
        <v>0</v>
      </c>
      <c r="E29" s="51">
        <f t="shared" si="1"/>
        <v>0</v>
      </c>
      <c r="F29" s="52">
        <f t="shared" si="2"/>
        <v>0</v>
      </c>
      <c r="G29" s="270"/>
    </row>
    <row r="30" spans="1:7" ht="12.75" customHeight="1">
      <c r="A30" s="53" t="s">
        <v>139</v>
      </c>
      <c r="B30" s="51">
        <v>49906</v>
      </c>
      <c r="C30" s="51">
        <v>0</v>
      </c>
      <c r="D30" s="51">
        <f t="shared" si="0"/>
        <v>0</v>
      </c>
      <c r="E30" s="51">
        <f t="shared" si="1"/>
        <v>49906</v>
      </c>
      <c r="F30" s="52">
        <f t="shared" si="2"/>
        <v>896</v>
      </c>
      <c r="G30" s="264"/>
    </row>
    <row r="31" spans="1:7" ht="12.75" customHeight="1" thickBot="1">
      <c r="A31" s="273" t="s">
        <v>105</v>
      </c>
      <c r="B31" s="274">
        <v>12799</v>
      </c>
      <c r="C31" s="274">
        <v>14776</v>
      </c>
      <c r="D31" s="274">
        <f t="shared" si="0"/>
        <v>5910.400000000001</v>
      </c>
      <c r="E31" s="274">
        <f t="shared" si="1"/>
        <v>18709.4</v>
      </c>
      <c r="F31" s="52">
        <f t="shared" si="2"/>
        <v>336</v>
      </c>
      <c r="G31" s="264"/>
    </row>
    <row r="32" spans="1:7" ht="15.75" thickBot="1">
      <c r="A32" s="275" t="s">
        <v>71</v>
      </c>
      <c r="B32" s="276">
        <f>SUM(B6:B31)</f>
        <v>9608164</v>
      </c>
      <c r="C32" s="276">
        <f>SUM(C6:C31)</f>
        <v>1143073</v>
      </c>
      <c r="D32" s="276">
        <f t="shared" si="0"/>
        <v>457229.2</v>
      </c>
      <c r="E32" s="276">
        <f>SUM(E6:E31)</f>
        <v>10065393.200000001</v>
      </c>
      <c r="F32" s="277">
        <f>SUM(F6:F31)</f>
        <v>180629</v>
      </c>
      <c r="G32" s="264"/>
    </row>
    <row r="33" spans="1:7" ht="15.75" thickBot="1">
      <c r="A33" s="41"/>
      <c r="B33" s="41"/>
      <c r="C33" s="41"/>
      <c r="D33" s="41"/>
      <c r="E33" s="41"/>
      <c r="G33" s="264"/>
    </row>
    <row r="34" spans="1:7" ht="15.75" thickBot="1">
      <c r="A34" s="54" t="s">
        <v>140</v>
      </c>
      <c r="B34" s="55"/>
      <c r="C34" s="55"/>
      <c r="D34" s="55"/>
      <c r="E34" s="55"/>
      <c r="F34" s="548">
        <f>F35*1000/E32</f>
        <v>17.945548316979806</v>
      </c>
      <c r="G34" s="271"/>
    </row>
    <row r="35" spans="1:7" ht="15.75" thickBot="1">
      <c r="A35" s="41" t="s">
        <v>141</v>
      </c>
      <c r="B35" s="56"/>
      <c r="C35" s="56"/>
      <c r="D35" s="56"/>
      <c r="E35" s="56"/>
      <c r="F35" s="272">
        <f>'Tab.1_Bilance'!L23</f>
        <v>180629</v>
      </c>
      <c r="G35" s="553">
        <v>180627.6</v>
      </c>
    </row>
    <row r="36" spans="1:7" ht="15.75" thickBot="1">
      <c r="A36" s="54" t="s">
        <v>142</v>
      </c>
      <c r="B36" s="55"/>
      <c r="C36" s="55"/>
      <c r="D36" s="55"/>
      <c r="E36" s="55"/>
      <c r="F36" s="57">
        <f>F32</f>
        <v>180629</v>
      </c>
      <c r="G36" s="264"/>
    </row>
    <row r="37" spans="1:7" ht="15">
      <c r="A37" s="264"/>
      <c r="B37" s="264"/>
      <c r="C37" s="264"/>
      <c r="D37" s="264"/>
      <c r="E37" s="264"/>
      <c r="F37" s="264"/>
      <c r="G37" s="264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="89" zoomScaleNormal="89" zoomScalePageLayoutView="0" workbookViewId="0" topLeftCell="A1">
      <selection activeCell="G42" sqref="G42"/>
    </sheetView>
  </sheetViews>
  <sheetFormatPr defaultColWidth="9.140625" defaultRowHeight="15"/>
  <cols>
    <col min="1" max="1" width="10.00390625" style="58" bestFit="1" customWidth="1"/>
    <col min="2" max="2" width="52.140625" style="58" customWidth="1"/>
    <col min="3" max="3" width="11.7109375" style="58" customWidth="1"/>
    <col min="4" max="4" width="12.7109375" style="58" customWidth="1"/>
    <col min="5" max="5" width="12.00390625" style="58" customWidth="1"/>
    <col min="6" max="16384" width="9.140625" style="58" customWidth="1"/>
  </cols>
  <sheetData>
    <row r="1" spans="1:5" ht="19.5">
      <c r="A1" s="296" t="s">
        <v>390</v>
      </c>
      <c r="B1" s="260"/>
      <c r="C1" s="260"/>
      <c r="D1" s="260"/>
      <c r="E1" s="260"/>
    </row>
    <row r="2" spans="1:5" ht="9" customHeight="1">
      <c r="A2" s="260"/>
      <c r="B2" s="260"/>
      <c r="C2" s="260"/>
      <c r="D2" s="260"/>
      <c r="E2" s="260"/>
    </row>
    <row r="3" spans="1:5" ht="15">
      <c r="A3" s="260" t="s">
        <v>188</v>
      </c>
      <c r="B3" s="260"/>
      <c r="C3" s="260"/>
      <c r="D3" s="260"/>
      <c r="E3" s="260"/>
    </row>
    <row r="4" spans="1:5" ht="15.75" thickBot="1">
      <c r="A4" s="260"/>
      <c r="B4" s="260"/>
      <c r="C4" s="260"/>
      <c r="D4" s="260"/>
      <c r="E4" s="260"/>
    </row>
    <row r="5" spans="1:5" ht="12.75" customHeight="1">
      <c r="A5" s="255" t="s">
        <v>180</v>
      </c>
      <c r="B5" s="288"/>
      <c r="C5" s="288"/>
      <c r="D5" s="257">
        <f>C43</f>
        <v>155631</v>
      </c>
      <c r="E5" s="260"/>
    </row>
    <row r="6" spans="1:5" ht="12.75" customHeight="1">
      <c r="A6" s="289" t="s">
        <v>181</v>
      </c>
      <c r="B6" s="290"/>
      <c r="C6" s="290"/>
      <c r="D6" s="305">
        <f>11728*0.91</f>
        <v>10672.48</v>
      </c>
      <c r="E6" s="260"/>
    </row>
    <row r="7" spans="1:5" ht="12.75" customHeight="1" thickBot="1">
      <c r="A7" s="298" t="s">
        <v>182</v>
      </c>
      <c r="B7" s="299"/>
      <c r="C7" s="299"/>
      <c r="D7" s="300">
        <f>SUM(D5:D6)</f>
        <v>166303.48</v>
      </c>
      <c r="E7" s="260"/>
    </row>
    <row r="8" spans="1:5" ht="12.75" customHeight="1" thickBot="1">
      <c r="A8" s="303" t="s">
        <v>189</v>
      </c>
      <c r="B8" s="304"/>
      <c r="C8" s="304"/>
      <c r="D8" s="551">
        <f>('Tab.1_Bilance'!L26+'Tab.1_Bilance'!L27)</f>
        <v>892592</v>
      </c>
      <c r="E8" s="549">
        <v>892591.7</v>
      </c>
    </row>
    <row r="9" spans="1:5" ht="12.75" customHeight="1">
      <c r="A9" s="301" t="s">
        <v>192</v>
      </c>
      <c r="B9" s="302"/>
      <c r="C9" s="302"/>
      <c r="D9" s="550">
        <f>1000*E8/D7</f>
        <v>5367.246073263169</v>
      </c>
      <c r="E9" s="306"/>
    </row>
    <row r="10" spans="1:5" ht="12.75" customHeight="1">
      <c r="A10" s="289" t="s">
        <v>183</v>
      </c>
      <c r="B10" s="290"/>
      <c r="C10" s="290"/>
      <c r="D10" s="284">
        <f>D43</f>
        <v>835310</v>
      </c>
      <c r="E10" s="260"/>
    </row>
    <row r="11" spans="1:5" ht="12.75" customHeight="1">
      <c r="A11" s="289" t="s">
        <v>184</v>
      </c>
      <c r="B11" s="290"/>
      <c r="C11" s="290"/>
      <c r="D11" s="284">
        <f>D6*D9/1000</f>
        <v>57281.8263719797</v>
      </c>
      <c r="E11" s="260"/>
    </row>
    <row r="12" spans="1:5" ht="15.75" thickBot="1">
      <c r="A12" s="291" t="s">
        <v>71</v>
      </c>
      <c r="B12" s="292"/>
      <c r="C12" s="292"/>
      <c r="D12" s="552">
        <f>SUM(D10:D11)</f>
        <v>892591.8263719797</v>
      </c>
      <c r="E12" s="306"/>
    </row>
    <row r="13" spans="1:5" ht="15">
      <c r="A13" s="293"/>
      <c r="B13" s="293"/>
      <c r="C13" s="293"/>
      <c r="D13" s="294"/>
      <c r="E13" s="260"/>
    </row>
    <row r="14" spans="1:5" ht="15.75">
      <c r="A14" s="297" t="s">
        <v>57</v>
      </c>
      <c r="B14" s="293"/>
      <c r="C14" s="293"/>
      <c r="D14" s="295"/>
      <c r="E14" s="260"/>
    </row>
    <row r="15" spans="1:5" ht="9" customHeight="1" thickBot="1">
      <c r="A15" s="260"/>
      <c r="B15" s="260"/>
      <c r="C15" s="260"/>
      <c r="D15" s="260"/>
      <c r="E15" s="260"/>
    </row>
    <row r="16" spans="1:5" ht="26.25" thickBot="1">
      <c r="A16" s="324" t="s">
        <v>185</v>
      </c>
      <c r="B16" s="265" t="s">
        <v>176</v>
      </c>
      <c r="C16" s="265" t="s">
        <v>186</v>
      </c>
      <c r="D16" s="266" t="s">
        <v>187</v>
      </c>
      <c r="E16" s="260"/>
    </row>
    <row r="17" spans="1:5" ht="12.75" customHeight="1">
      <c r="A17" s="325">
        <v>11000</v>
      </c>
      <c r="B17" s="326" t="s">
        <v>144</v>
      </c>
      <c r="C17" s="327">
        <v>19305</v>
      </c>
      <c r="D17" s="257">
        <f aca="true" t="shared" si="0" ref="D17:D42">ROUND(C17/1000*$D$9,0)</f>
        <v>103615</v>
      </c>
      <c r="E17" s="260"/>
    </row>
    <row r="18" spans="1:5" ht="12.75" customHeight="1">
      <c r="A18" s="328">
        <v>12000</v>
      </c>
      <c r="B18" s="308" t="s">
        <v>145</v>
      </c>
      <c r="C18" s="309">
        <v>5337</v>
      </c>
      <c r="D18" s="284">
        <f t="shared" si="0"/>
        <v>28645</v>
      </c>
      <c r="E18" s="260"/>
    </row>
    <row r="19" spans="1:5" ht="12.75" customHeight="1">
      <c r="A19" s="328">
        <v>13000</v>
      </c>
      <c r="B19" s="308" t="s">
        <v>146</v>
      </c>
      <c r="C19" s="309">
        <v>4526</v>
      </c>
      <c r="D19" s="284">
        <f t="shared" si="0"/>
        <v>24292</v>
      </c>
      <c r="E19" s="260"/>
    </row>
    <row r="20" spans="1:5" ht="12.75" customHeight="1">
      <c r="A20" s="328">
        <v>14000</v>
      </c>
      <c r="B20" s="308" t="s">
        <v>147</v>
      </c>
      <c r="C20" s="309">
        <v>18919</v>
      </c>
      <c r="D20" s="284">
        <f t="shared" si="0"/>
        <v>101543</v>
      </c>
      <c r="E20" s="260"/>
    </row>
    <row r="21" spans="1:5" ht="12.75" customHeight="1">
      <c r="A21" s="328">
        <v>15000</v>
      </c>
      <c r="B21" s="308" t="s">
        <v>148</v>
      </c>
      <c r="C21" s="309">
        <v>10108</v>
      </c>
      <c r="D21" s="284">
        <f t="shared" si="0"/>
        <v>54252</v>
      </c>
      <c r="E21" s="260"/>
    </row>
    <row r="22" spans="1:5" ht="12.75" customHeight="1">
      <c r="A22" s="328">
        <v>16000</v>
      </c>
      <c r="B22" s="308" t="s">
        <v>149</v>
      </c>
      <c r="C22" s="309">
        <v>1913</v>
      </c>
      <c r="D22" s="284">
        <f t="shared" si="0"/>
        <v>10268</v>
      </c>
      <c r="E22" s="260"/>
    </row>
    <row r="23" spans="1:5" ht="12.75" customHeight="1">
      <c r="A23" s="328">
        <v>17000</v>
      </c>
      <c r="B23" s="308" t="s">
        <v>150</v>
      </c>
      <c r="C23" s="309">
        <v>4136</v>
      </c>
      <c r="D23" s="284">
        <f t="shared" si="0"/>
        <v>22199</v>
      </c>
      <c r="E23" s="260"/>
    </row>
    <row r="24" spans="1:5" ht="12.75" customHeight="1">
      <c r="A24" s="328">
        <v>18000</v>
      </c>
      <c r="B24" s="308" t="s">
        <v>151</v>
      </c>
      <c r="C24" s="309">
        <v>3550</v>
      </c>
      <c r="D24" s="284">
        <f t="shared" si="0"/>
        <v>19054</v>
      </c>
      <c r="E24" s="260"/>
    </row>
    <row r="25" spans="1:5" ht="12.75" customHeight="1">
      <c r="A25" s="328">
        <v>19000</v>
      </c>
      <c r="B25" s="308" t="s">
        <v>152</v>
      </c>
      <c r="C25" s="309">
        <v>2745</v>
      </c>
      <c r="D25" s="284">
        <f t="shared" si="0"/>
        <v>14733</v>
      </c>
      <c r="E25" s="260"/>
    </row>
    <row r="26" spans="1:5" ht="12.75" customHeight="1">
      <c r="A26" s="328">
        <v>21000</v>
      </c>
      <c r="B26" s="308" t="s">
        <v>153</v>
      </c>
      <c r="C26" s="309">
        <v>12270</v>
      </c>
      <c r="D26" s="284">
        <f t="shared" si="0"/>
        <v>65856</v>
      </c>
      <c r="E26" s="260"/>
    </row>
    <row r="27" spans="1:5" ht="12.75" customHeight="1">
      <c r="A27" s="328">
        <v>22000</v>
      </c>
      <c r="B27" s="308" t="s">
        <v>154</v>
      </c>
      <c r="C27" s="309">
        <v>1962</v>
      </c>
      <c r="D27" s="284">
        <f t="shared" si="0"/>
        <v>10531</v>
      </c>
      <c r="E27" s="260"/>
    </row>
    <row r="28" spans="1:5" ht="12.75" customHeight="1">
      <c r="A28" s="328">
        <v>23000</v>
      </c>
      <c r="B28" s="308" t="s">
        <v>155</v>
      </c>
      <c r="C28" s="309">
        <v>7893</v>
      </c>
      <c r="D28" s="284">
        <f t="shared" si="0"/>
        <v>42364</v>
      </c>
      <c r="E28" s="260"/>
    </row>
    <row r="29" spans="1:5" ht="12.75" customHeight="1">
      <c r="A29" s="328">
        <v>24000</v>
      </c>
      <c r="B29" s="308" t="s">
        <v>156</v>
      </c>
      <c r="C29" s="309">
        <v>3617</v>
      </c>
      <c r="D29" s="284">
        <f t="shared" si="0"/>
        <v>19413</v>
      </c>
      <c r="E29" s="260"/>
    </row>
    <row r="30" spans="1:5" ht="12.75" customHeight="1">
      <c r="A30" s="328">
        <v>25000</v>
      </c>
      <c r="B30" s="308" t="s">
        <v>157</v>
      </c>
      <c r="C30" s="309">
        <v>5386</v>
      </c>
      <c r="D30" s="284">
        <f t="shared" si="0"/>
        <v>28908</v>
      </c>
      <c r="E30" s="260"/>
    </row>
    <row r="31" spans="1:5" ht="12.75" customHeight="1">
      <c r="A31" s="328">
        <v>26000</v>
      </c>
      <c r="B31" s="308" t="s">
        <v>158</v>
      </c>
      <c r="C31" s="309">
        <v>14306</v>
      </c>
      <c r="D31" s="284">
        <f t="shared" si="0"/>
        <v>76784</v>
      </c>
      <c r="E31" s="260"/>
    </row>
    <row r="32" spans="1:5" ht="12.75" customHeight="1">
      <c r="A32" s="328">
        <v>27000</v>
      </c>
      <c r="B32" s="308" t="s">
        <v>159</v>
      </c>
      <c r="C32" s="309">
        <v>9055</v>
      </c>
      <c r="D32" s="284">
        <f t="shared" si="0"/>
        <v>48600</v>
      </c>
      <c r="E32" s="260"/>
    </row>
    <row r="33" spans="1:5" ht="12.75" customHeight="1">
      <c r="A33" s="328">
        <v>28000</v>
      </c>
      <c r="B33" s="308" t="s">
        <v>160</v>
      </c>
      <c r="C33" s="309">
        <v>4191</v>
      </c>
      <c r="D33" s="284">
        <f t="shared" si="0"/>
        <v>22494</v>
      </c>
      <c r="E33" s="260"/>
    </row>
    <row r="34" spans="1:5" ht="12.75" customHeight="1">
      <c r="A34" s="328">
        <v>31000</v>
      </c>
      <c r="B34" s="308" t="s">
        <v>161</v>
      </c>
      <c r="C34" s="309">
        <v>9636</v>
      </c>
      <c r="D34" s="284">
        <f t="shared" si="0"/>
        <v>51719</v>
      </c>
      <c r="E34" s="260"/>
    </row>
    <row r="35" spans="1:5" ht="12.75" customHeight="1">
      <c r="A35" s="328">
        <v>41000</v>
      </c>
      <c r="B35" s="308" t="s">
        <v>162</v>
      </c>
      <c r="C35" s="309">
        <v>7200</v>
      </c>
      <c r="D35" s="284">
        <f t="shared" si="0"/>
        <v>38644</v>
      </c>
      <c r="E35" s="260"/>
    </row>
    <row r="36" spans="1:5" ht="12.75" customHeight="1">
      <c r="A36" s="328">
        <v>43000</v>
      </c>
      <c r="B36" s="308" t="s">
        <v>163</v>
      </c>
      <c r="C36" s="309">
        <v>5864</v>
      </c>
      <c r="D36" s="284">
        <f t="shared" si="0"/>
        <v>31474</v>
      </c>
      <c r="E36" s="260"/>
    </row>
    <row r="37" spans="1:5" ht="12.75" customHeight="1">
      <c r="A37" s="328">
        <v>51000</v>
      </c>
      <c r="B37" s="308" t="s">
        <v>164</v>
      </c>
      <c r="C37" s="309">
        <v>543</v>
      </c>
      <c r="D37" s="284">
        <f t="shared" si="0"/>
        <v>2914</v>
      </c>
      <c r="E37" s="260"/>
    </row>
    <row r="38" spans="1:5" ht="12.75" customHeight="1">
      <c r="A38" s="328">
        <v>52000</v>
      </c>
      <c r="B38" s="308" t="s">
        <v>165</v>
      </c>
      <c r="C38" s="309">
        <v>162</v>
      </c>
      <c r="D38" s="284">
        <f t="shared" si="0"/>
        <v>869</v>
      </c>
      <c r="E38" s="260"/>
    </row>
    <row r="39" spans="1:5" ht="12.75" customHeight="1">
      <c r="A39" s="328">
        <v>53000</v>
      </c>
      <c r="B39" s="308" t="s">
        <v>166</v>
      </c>
      <c r="C39" s="309">
        <v>215</v>
      </c>
      <c r="D39" s="284">
        <f t="shared" si="0"/>
        <v>1154</v>
      </c>
      <c r="E39" s="260"/>
    </row>
    <row r="40" spans="1:5" ht="12.75" customHeight="1">
      <c r="A40" s="328">
        <v>54000</v>
      </c>
      <c r="B40" s="308" t="s">
        <v>167</v>
      </c>
      <c r="C40" s="309">
        <v>414</v>
      </c>
      <c r="D40" s="284">
        <f t="shared" si="0"/>
        <v>2222</v>
      </c>
      <c r="E40" s="260"/>
    </row>
    <row r="41" spans="1:5" ht="12.75" customHeight="1">
      <c r="A41" s="328">
        <v>55000</v>
      </c>
      <c r="B41" s="308" t="s">
        <v>168</v>
      </c>
      <c r="C41" s="309">
        <v>1433</v>
      </c>
      <c r="D41" s="284">
        <f t="shared" si="0"/>
        <v>7691</v>
      </c>
      <c r="E41" s="260"/>
    </row>
    <row r="42" spans="1:5" ht="12.75" customHeight="1" thickBot="1">
      <c r="A42" s="329">
        <v>56000</v>
      </c>
      <c r="B42" s="330" t="s">
        <v>169</v>
      </c>
      <c r="C42" s="331">
        <v>945</v>
      </c>
      <c r="D42" s="332">
        <f t="shared" si="0"/>
        <v>5072</v>
      </c>
      <c r="E42" s="260"/>
    </row>
    <row r="43" spans="1:5" ht="15.75" thickBot="1">
      <c r="A43" s="61" t="s">
        <v>71</v>
      </c>
      <c r="B43" s="62"/>
      <c r="C43" s="63">
        <f>SUM(C17:C42)</f>
        <v>155631</v>
      </c>
      <c r="D43" s="64">
        <f>SUM(D17:D42)</f>
        <v>835310</v>
      </c>
      <c r="E43" s="260"/>
    </row>
    <row r="44" spans="1:5" ht="15">
      <c r="A44" s="260"/>
      <c r="B44" s="260"/>
      <c r="C44" s="261"/>
      <c r="D44" s="261"/>
      <c r="E44" s="260"/>
    </row>
    <row r="45" ht="15.75">
      <c r="A45" s="297" t="s">
        <v>388</v>
      </c>
    </row>
    <row r="46" spans="1:4" ht="90" customHeight="1">
      <c r="A46" s="994" t="s">
        <v>389</v>
      </c>
      <c r="B46" s="994"/>
      <c r="C46" s="994"/>
      <c r="D46" s="994"/>
    </row>
  </sheetData>
  <sheetProtection/>
  <mergeCells count="1">
    <mergeCell ref="A46:D4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421875" style="0" customWidth="1"/>
    <col min="2" max="2" width="44.421875" style="555" customWidth="1"/>
    <col min="3" max="3" width="10.140625" style="0" customWidth="1"/>
    <col min="4" max="4" width="10.421875" style="0" customWidth="1"/>
    <col min="5" max="5" width="10.140625" style="0" customWidth="1"/>
    <col min="6" max="6" width="10.57421875" style="0" customWidth="1"/>
  </cols>
  <sheetData>
    <row r="1" spans="1:6" s="254" customFormat="1" ht="41.25" customHeight="1">
      <c r="A1" s="1003" t="s">
        <v>387</v>
      </c>
      <c r="B1" s="1003"/>
      <c r="C1" s="1003"/>
      <c r="D1" s="1003"/>
      <c r="E1" s="1003"/>
      <c r="F1" s="566"/>
    </row>
    <row r="2" s="254" customFormat="1" ht="14.25"/>
    <row r="3" spans="1:5" s="264" customFormat="1" ht="12.75">
      <c r="A3" s="567" t="s">
        <v>354</v>
      </c>
      <c r="B3" s="568"/>
      <c r="C3" s="568"/>
      <c r="D3" s="569"/>
      <c r="E3" s="570">
        <v>19000</v>
      </c>
    </row>
    <row r="4" spans="1:5" s="264" customFormat="1" ht="12.75">
      <c r="A4" s="567" t="s">
        <v>355</v>
      </c>
      <c r="B4" s="568"/>
      <c r="C4" s="568"/>
      <c r="D4" s="569"/>
      <c r="E4" s="571">
        <f>E3*1000/D36</f>
        <v>28.761992994184023</v>
      </c>
    </row>
    <row r="5" spans="1:5" s="264" customFormat="1" ht="12.75">
      <c r="A5" s="572"/>
      <c r="B5" s="572"/>
      <c r="C5" s="572"/>
      <c r="D5" s="572"/>
      <c r="E5" s="573"/>
    </row>
    <row r="6" spans="1:5" s="264" customFormat="1" ht="12.75">
      <c r="A6" s="681" t="s">
        <v>356</v>
      </c>
      <c r="B6" s="681"/>
      <c r="C6" s="681"/>
      <c r="D6" s="681"/>
      <c r="E6" s="682">
        <v>19002.1</v>
      </c>
    </row>
    <row r="7" s="264" customFormat="1" ht="13.5" thickBot="1"/>
    <row r="8" spans="1:5" s="264" customFormat="1" ht="18.75" customHeight="1">
      <c r="A8" s="995" t="s">
        <v>185</v>
      </c>
      <c r="B8" s="997" t="s">
        <v>347</v>
      </c>
      <c r="C8" s="999" t="s">
        <v>357</v>
      </c>
      <c r="D8" s="1000"/>
      <c r="E8" s="1001" t="s">
        <v>358</v>
      </c>
    </row>
    <row r="9" spans="1:5" s="264" customFormat="1" ht="50.25" customHeight="1" thickBot="1">
      <c r="A9" s="996"/>
      <c r="B9" s="998"/>
      <c r="C9" s="574" t="s">
        <v>359</v>
      </c>
      <c r="D9" s="575" t="s">
        <v>360</v>
      </c>
      <c r="E9" s="1002"/>
    </row>
    <row r="10" spans="1:7" s="264" customFormat="1" ht="12.75">
      <c r="A10" s="576" t="s">
        <v>318</v>
      </c>
      <c r="B10" s="556" t="s">
        <v>144</v>
      </c>
      <c r="C10" s="577">
        <v>5228</v>
      </c>
      <c r="D10" s="578">
        <v>130975</v>
      </c>
      <c r="E10" s="579">
        <f aca="true" t="shared" si="0" ref="E10:E29">ROUND(E$6/D$36*D10,0)</f>
        <v>3768</v>
      </c>
      <c r="G10" s="580"/>
    </row>
    <row r="11" spans="1:7" s="264" customFormat="1" ht="12.75">
      <c r="A11" s="581" t="s">
        <v>319</v>
      </c>
      <c r="B11" s="557" t="s">
        <v>145</v>
      </c>
      <c r="C11" s="582">
        <v>1141</v>
      </c>
      <c r="D11" s="583">
        <v>34141</v>
      </c>
      <c r="E11" s="579">
        <f t="shared" si="0"/>
        <v>982</v>
      </c>
      <c r="G11" s="584"/>
    </row>
    <row r="12" spans="1:7" s="264" customFormat="1" ht="12.75">
      <c r="A12" s="581" t="s">
        <v>320</v>
      </c>
      <c r="B12" s="557" t="s">
        <v>321</v>
      </c>
      <c r="C12" s="582">
        <v>1763</v>
      </c>
      <c r="D12" s="583">
        <v>27539</v>
      </c>
      <c r="E12" s="579">
        <f t="shared" si="0"/>
        <v>792</v>
      </c>
      <c r="G12" s="584"/>
    </row>
    <row r="13" spans="1:7" s="264" customFormat="1" ht="12.75">
      <c r="A13" s="581" t="s">
        <v>323</v>
      </c>
      <c r="B13" s="557" t="s">
        <v>147</v>
      </c>
      <c r="C13" s="582">
        <v>3873</v>
      </c>
      <c r="D13" s="583">
        <v>51273</v>
      </c>
      <c r="E13" s="579">
        <f t="shared" si="0"/>
        <v>1475</v>
      </c>
      <c r="G13" s="584"/>
    </row>
    <row r="14" spans="1:7" s="264" customFormat="1" ht="12.75">
      <c r="A14" s="581" t="s">
        <v>324</v>
      </c>
      <c r="B14" s="557" t="s">
        <v>148</v>
      </c>
      <c r="C14" s="582">
        <v>2266</v>
      </c>
      <c r="D14" s="583">
        <v>27886</v>
      </c>
      <c r="E14" s="579">
        <f t="shared" si="0"/>
        <v>802</v>
      </c>
      <c r="G14" s="584"/>
    </row>
    <row r="15" spans="1:7" s="264" customFormat="1" ht="12.75">
      <c r="A15" s="581" t="s">
        <v>325</v>
      </c>
      <c r="B15" s="557" t="s">
        <v>149</v>
      </c>
      <c r="C15" s="582">
        <v>564</v>
      </c>
      <c r="D15" s="583">
        <v>6049</v>
      </c>
      <c r="E15" s="579">
        <f t="shared" si="0"/>
        <v>174</v>
      </c>
      <c r="G15" s="584"/>
    </row>
    <row r="16" spans="1:7" s="264" customFormat="1" ht="12.75">
      <c r="A16" s="581" t="s">
        <v>326</v>
      </c>
      <c r="B16" s="557" t="s">
        <v>150</v>
      </c>
      <c r="C16" s="582">
        <f>578-22</f>
        <v>556</v>
      </c>
      <c r="D16" s="583">
        <v>23337</v>
      </c>
      <c r="E16" s="579">
        <f t="shared" si="0"/>
        <v>671</v>
      </c>
      <c r="G16" s="584"/>
    </row>
    <row r="17" spans="1:7" s="264" customFormat="1" ht="12.75">
      <c r="A17" s="581" t="s">
        <v>327</v>
      </c>
      <c r="B17" s="557" t="s">
        <v>151</v>
      </c>
      <c r="C17" s="582">
        <v>480</v>
      </c>
      <c r="D17" s="583">
        <v>11455</v>
      </c>
      <c r="E17" s="579">
        <f t="shared" si="0"/>
        <v>330</v>
      </c>
      <c r="G17" s="584"/>
    </row>
    <row r="18" spans="1:7" s="264" customFormat="1" ht="12.75">
      <c r="A18" s="581" t="s">
        <v>328</v>
      </c>
      <c r="B18" s="557" t="s">
        <v>152</v>
      </c>
      <c r="C18" s="582">
        <v>1019</v>
      </c>
      <c r="D18" s="583">
        <v>28288</v>
      </c>
      <c r="E18" s="579">
        <f t="shared" si="0"/>
        <v>814</v>
      </c>
      <c r="G18" s="584"/>
    </row>
    <row r="19" spans="1:7" s="264" customFormat="1" ht="12.75">
      <c r="A19" s="581" t="s">
        <v>329</v>
      </c>
      <c r="B19" s="557" t="s">
        <v>153</v>
      </c>
      <c r="C19" s="582">
        <v>1111</v>
      </c>
      <c r="D19" s="583">
        <v>28405</v>
      </c>
      <c r="E19" s="579">
        <f t="shared" si="0"/>
        <v>817</v>
      </c>
      <c r="G19" s="584"/>
    </row>
    <row r="20" spans="1:7" s="264" customFormat="1" ht="12.75">
      <c r="A20" s="581" t="s">
        <v>330</v>
      </c>
      <c r="B20" s="557" t="s">
        <v>361</v>
      </c>
      <c r="C20" s="582">
        <v>368</v>
      </c>
      <c r="D20" s="583">
        <v>11209</v>
      </c>
      <c r="E20" s="579">
        <f t="shared" si="0"/>
        <v>322</v>
      </c>
      <c r="G20" s="584"/>
    </row>
    <row r="21" spans="1:7" s="264" customFormat="1" ht="12.75">
      <c r="A21" s="581" t="s">
        <v>331</v>
      </c>
      <c r="B21" s="557" t="s">
        <v>155</v>
      </c>
      <c r="C21" s="582">
        <v>2972</v>
      </c>
      <c r="D21" s="583">
        <v>45906</v>
      </c>
      <c r="E21" s="579">
        <f t="shared" si="0"/>
        <v>1320</v>
      </c>
      <c r="G21" s="584"/>
    </row>
    <row r="22" spans="1:7" s="264" customFormat="1" ht="12.75">
      <c r="A22" s="581" t="s">
        <v>332</v>
      </c>
      <c r="B22" s="557" t="s">
        <v>156</v>
      </c>
      <c r="C22" s="582">
        <v>886</v>
      </c>
      <c r="D22" s="583">
        <v>21566</v>
      </c>
      <c r="E22" s="579">
        <f t="shared" si="0"/>
        <v>620</v>
      </c>
      <c r="G22" s="584"/>
    </row>
    <row r="23" spans="1:7" s="264" customFormat="1" ht="12.75">
      <c r="A23" s="581" t="s">
        <v>333</v>
      </c>
      <c r="B23" s="557" t="s">
        <v>157</v>
      </c>
      <c r="C23" s="582">
        <v>420</v>
      </c>
      <c r="D23" s="583">
        <v>7584</v>
      </c>
      <c r="E23" s="579">
        <f t="shared" si="0"/>
        <v>218</v>
      </c>
      <c r="G23" s="584"/>
    </row>
    <row r="24" spans="1:7" s="264" customFormat="1" ht="12.75">
      <c r="A24" s="581" t="s">
        <v>334</v>
      </c>
      <c r="B24" s="557" t="s">
        <v>158</v>
      </c>
      <c r="C24" s="582">
        <v>1984</v>
      </c>
      <c r="D24" s="583">
        <v>36428</v>
      </c>
      <c r="E24" s="579">
        <f t="shared" si="0"/>
        <v>1048</v>
      </c>
      <c r="G24" s="584"/>
    </row>
    <row r="25" spans="1:7" s="264" customFormat="1" ht="12.75">
      <c r="A25" s="581" t="s">
        <v>335</v>
      </c>
      <c r="B25" s="557" t="s">
        <v>362</v>
      </c>
      <c r="C25" s="582">
        <v>990</v>
      </c>
      <c r="D25" s="583">
        <v>18917</v>
      </c>
      <c r="E25" s="579">
        <f t="shared" si="0"/>
        <v>544</v>
      </c>
      <c r="G25" s="584"/>
    </row>
    <row r="26" spans="1:7" s="264" customFormat="1" ht="12.75">
      <c r="A26" s="581" t="s">
        <v>336</v>
      </c>
      <c r="B26" s="557" t="s">
        <v>160</v>
      </c>
      <c r="C26" s="582">
        <v>1163</v>
      </c>
      <c r="D26" s="583">
        <v>16380</v>
      </c>
      <c r="E26" s="579">
        <f t="shared" si="0"/>
        <v>471</v>
      </c>
      <c r="G26" s="584"/>
    </row>
    <row r="27" spans="1:7" s="264" customFormat="1" ht="12.75">
      <c r="A27" s="581" t="s">
        <v>337</v>
      </c>
      <c r="B27" s="557" t="s">
        <v>161</v>
      </c>
      <c r="C27" s="582">
        <v>2035</v>
      </c>
      <c r="D27" s="583">
        <v>44722</v>
      </c>
      <c r="E27" s="579">
        <f t="shared" si="0"/>
        <v>1286</v>
      </c>
      <c r="G27" s="584"/>
    </row>
    <row r="28" spans="1:7" s="264" customFormat="1" ht="12.75">
      <c r="A28" s="581" t="s">
        <v>338</v>
      </c>
      <c r="B28" s="557" t="s">
        <v>162</v>
      </c>
      <c r="C28" s="582">
        <v>1713</v>
      </c>
      <c r="D28" s="583">
        <v>29080</v>
      </c>
      <c r="E28" s="579">
        <f t="shared" si="0"/>
        <v>836</v>
      </c>
      <c r="G28" s="584"/>
    </row>
    <row r="29" spans="1:7" s="264" customFormat="1" ht="12.75">
      <c r="A29" s="581" t="s">
        <v>339</v>
      </c>
      <c r="B29" s="557" t="s">
        <v>163</v>
      </c>
      <c r="C29" s="582">
        <v>3242</v>
      </c>
      <c r="D29" s="583">
        <v>48321</v>
      </c>
      <c r="E29" s="579">
        <f t="shared" si="0"/>
        <v>1390</v>
      </c>
      <c r="G29" s="584"/>
    </row>
    <row r="30" spans="1:7" s="264" customFormat="1" ht="12.75">
      <c r="A30" s="581" t="s">
        <v>340</v>
      </c>
      <c r="B30" s="557" t="s">
        <v>164</v>
      </c>
      <c r="C30" s="585" t="s">
        <v>322</v>
      </c>
      <c r="D30" s="586" t="s">
        <v>322</v>
      </c>
      <c r="E30" s="579"/>
      <c r="G30" s="584"/>
    </row>
    <row r="31" spans="1:7" s="264" customFormat="1" ht="12.75">
      <c r="A31" s="581" t="s">
        <v>341</v>
      </c>
      <c r="B31" s="557" t="s">
        <v>165</v>
      </c>
      <c r="C31" s="585" t="s">
        <v>322</v>
      </c>
      <c r="D31" s="586" t="s">
        <v>322</v>
      </c>
      <c r="E31" s="579"/>
      <c r="G31" s="584"/>
    </row>
    <row r="32" spans="1:7" s="264" customFormat="1" ht="12.75">
      <c r="A32" s="581" t="s">
        <v>342</v>
      </c>
      <c r="B32" s="557" t="s">
        <v>166</v>
      </c>
      <c r="C32" s="585" t="s">
        <v>322</v>
      </c>
      <c r="D32" s="586" t="s">
        <v>322</v>
      </c>
      <c r="E32" s="579"/>
      <c r="G32" s="584"/>
    </row>
    <row r="33" spans="1:7" s="264" customFormat="1" ht="12.75">
      <c r="A33" s="581" t="s">
        <v>343</v>
      </c>
      <c r="B33" s="557" t="s">
        <v>344</v>
      </c>
      <c r="C33" s="585" t="s">
        <v>322</v>
      </c>
      <c r="D33" s="586" t="s">
        <v>322</v>
      </c>
      <c r="E33" s="579"/>
      <c r="G33" s="584"/>
    </row>
    <row r="34" spans="1:7" s="264" customFormat="1" ht="12.75">
      <c r="A34" s="581" t="s">
        <v>345</v>
      </c>
      <c r="B34" s="557" t="s">
        <v>168</v>
      </c>
      <c r="C34" s="582">
        <v>496</v>
      </c>
      <c r="D34" s="583">
        <v>11133</v>
      </c>
      <c r="E34" s="579">
        <f>ROUND(E$6/D$36*D34,0)</f>
        <v>320</v>
      </c>
      <c r="G34" s="584"/>
    </row>
    <row r="35" spans="1:7" s="264" customFormat="1" ht="13.5" thickBot="1">
      <c r="A35" s="587" t="s">
        <v>346</v>
      </c>
      <c r="B35" s="588" t="s">
        <v>363</v>
      </c>
      <c r="C35" s="589" t="s">
        <v>322</v>
      </c>
      <c r="D35" s="590" t="s">
        <v>322</v>
      </c>
      <c r="E35" s="579"/>
      <c r="G35" s="584"/>
    </row>
    <row r="36" spans="1:7" s="264" customFormat="1" ht="13.5" thickBot="1">
      <c r="A36" s="591" t="s">
        <v>71</v>
      </c>
      <c r="B36" s="592"/>
      <c r="C36" s="593">
        <f>SUM(C10:C35)</f>
        <v>34270</v>
      </c>
      <c r="D36" s="594">
        <f>SUM(D10:D35)</f>
        <v>660594</v>
      </c>
      <c r="E36" s="595">
        <f>SUM(E10:E35)</f>
        <v>19000</v>
      </c>
      <c r="G36" s="584"/>
    </row>
    <row r="37" s="596" customFormat="1" ht="12.75">
      <c r="B37" s="597"/>
    </row>
    <row r="38" spans="1:6" ht="15.75">
      <c r="A38" s="559"/>
      <c r="B38" s="560"/>
      <c r="C38" s="559"/>
      <c r="D38" s="559"/>
      <c r="E38" s="559"/>
      <c r="F38" s="559"/>
    </row>
    <row r="39" spans="1:6" ht="15.75">
      <c r="A39" s="559"/>
      <c r="B39" s="560"/>
      <c r="C39" s="559"/>
      <c r="D39" s="561"/>
      <c r="E39" s="560"/>
      <c r="F39" s="559"/>
    </row>
    <row r="40" spans="1:6" ht="15.75">
      <c r="A40" s="559"/>
      <c r="B40" s="560"/>
      <c r="C40" s="559"/>
      <c r="D40" s="559"/>
      <c r="E40" s="559"/>
      <c r="F40" s="559"/>
    </row>
    <row r="41" spans="1:6" ht="15.75">
      <c r="A41" s="559"/>
      <c r="B41" s="560"/>
      <c r="C41" s="559"/>
      <c r="D41" s="559"/>
      <c r="E41" s="559"/>
      <c r="F41" s="559"/>
    </row>
    <row r="42" spans="1:6" ht="15.75">
      <c r="A42" s="559"/>
      <c r="B42" s="560"/>
      <c r="C42" s="559"/>
      <c r="D42" s="559"/>
      <c r="E42" s="559"/>
      <c r="F42" s="559"/>
    </row>
    <row r="43" spans="1:6" ht="15.75">
      <c r="A43" s="559"/>
      <c r="B43" s="560"/>
      <c r="C43" s="559"/>
      <c r="D43" s="559"/>
      <c r="E43" s="559"/>
      <c r="F43" s="559"/>
    </row>
    <row r="44" spans="1:6" ht="15.75">
      <c r="A44" s="559"/>
      <c r="B44" s="560"/>
      <c r="C44" s="559"/>
      <c r="D44" s="559"/>
      <c r="E44" s="559"/>
      <c r="F44" s="559"/>
    </row>
    <row r="45" spans="1:6" ht="15.75">
      <c r="A45" s="559"/>
      <c r="B45" s="560"/>
      <c r="C45" s="559"/>
      <c r="D45" s="559"/>
      <c r="E45" s="559"/>
      <c r="F45" s="559"/>
    </row>
    <row r="46" spans="1:6" ht="15.75">
      <c r="A46" s="559"/>
      <c r="B46" s="560"/>
      <c r="C46" s="559"/>
      <c r="D46" s="561"/>
      <c r="E46" s="559"/>
      <c r="F46" s="559"/>
    </row>
    <row r="47" spans="1:6" ht="15.75">
      <c r="A47" s="559"/>
      <c r="B47" s="560"/>
      <c r="C47" s="559"/>
      <c r="D47" s="559"/>
      <c r="E47" s="559"/>
      <c r="F47" s="559"/>
    </row>
  </sheetData>
  <sheetProtection/>
  <mergeCells count="5">
    <mergeCell ref="A8:A9"/>
    <mergeCell ref="B8:B9"/>
    <mergeCell ref="C8:D8"/>
    <mergeCell ref="E8:E9"/>
    <mergeCell ref="A1:E1"/>
  </mergeCells>
  <printOptions horizontalCentered="1"/>
  <pageMargins left="0.11811023622047245" right="0.11811023622047245" top="0.7874015748031497" bottom="0.7874015748031497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dobisek</dc:creator>
  <cp:keywords/>
  <dc:description/>
  <cp:lastModifiedBy>Pospíšilová Lenka</cp:lastModifiedBy>
  <cp:lastPrinted>2012-01-13T16:40:55Z</cp:lastPrinted>
  <dcterms:created xsi:type="dcterms:W3CDTF">2011-11-22T09:53:10Z</dcterms:created>
  <dcterms:modified xsi:type="dcterms:W3CDTF">2012-01-18T17:39:49Z</dcterms:modified>
  <cp:category/>
  <cp:version/>
  <cp:contentType/>
  <cp:contentStatus/>
</cp:coreProperties>
</file>