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6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zkratky VŠ" sheetId="9" r:id="rId9"/>
  </sheets>
  <externalReferences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>Pospíšilová Lenka</author>
  </authors>
  <commentList>
    <comment ref="A5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Podíl institucionální části rozpočtu a počtu normativních studentů; v roce 2012: (A+K)/norm. počet studentů.</t>
        </r>
      </text>
    </comment>
    <comment ref="I5" authorId="0">
      <text>
        <r>
          <rPr>
            <b/>
            <sz val="10"/>
            <rFont val="Tahoma"/>
            <family val="2"/>
          </rPr>
          <t>Pospíšilová Lenka:</t>
        </r>
        <r>
          <rPr>
            <sz val="10"/>
            <rFont val="Tahoma"/>
            <family val="2"/>
          </rPr>
          <t xml:space="preserve">
Výpočtové stipendium pro 1 studenta doktorského studijního programu (rok 2008 i r. 2009 88775 Kč, v roce 2010 zvýšení o 5,2% na 93 380 Kč)</t>
        </r>
      </text>
    </comment>
    <comment ref="A6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Podíl části rozpočtu v ukazateli A a normativního počtu studentů.</t>
        </r>
      </text>
    </comment>
    <comment ref="I6" authorId="0">
      <text>
        <r>
          <rPr>
            <b/>
            <sz val="10"/>
            <rFont val="Tahoma"/>
            <family val="2"/>
          </rPr>
          <t>Pospíšilová Lenka:</t>
        </r>
        <r>
          <rPr>
            <sz val="10"/>
            <rFont val="Tahoma"/>
            <family val="2"/>
          </rPr>
          <t xml:space="preserve">
(r. 2006 - 6395 Kč, r.2007 - 6500 Kč, r. 2008 - 6500 Kč, r. 2009 - 6500 Kč)</t>
        </r>
      </text>
    </comment>
    <comment ref="I7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(§91 odst. 3 zákona č. 111/1998 Sb., o vysokých školách), přiznává se na 10 měs. v roce</t>
        </r>
      </text>
    </comment>
    <comment ref="I8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 (r. 2007, r. 2008 i r. 2009 - 23 Kč)</t>
        </r>
      </text>
    </comment>
    <comment ref="D46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Podpora tvůrčích činností, které VVŠ umí definovat, ale nejsou zatím součástí kritérií hodnocení v rámci ukazatele K. </t>
        </r>
      </text>
    </comment>
  </commentList>
</comments>
</file>

<file path=xl/comments5.xml><?xml version="1.0" encoding="utf-8"?>
<comments xmlns="http://schemas.openxmlformats.org/spreadsheetml/2006/main">
  <authors>
    <author>Pospíšilová Lenka</author>
  </authors>
  <commentList>
    <comment ref="E5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Součet výsledků RUV za 3 roky: 2008, 2009, 2010</t>
        </r>
      </text>
    </comment>
  </commentList>
</comments>
</file>

<file path=xl/sharedStrings.xml><?xml version="1.0" encoding="utf-8"?>
<sst xmlns="http://schemas.openxmlformats.org/spreadsheetml/2006/main" count="807" uniqueCount="360">
  <si>
    <t>CELKEM</t>
  </si>
  <si>
    <t>(údaje v tis. Kč mimo počtu zaměstnanců)</t>
  </si>
  <si>
    <t>vlivy</t>
  </si>
  <si>
    <t>S O U H R N N É    U K A Z A T E L E</t>
  </si>
  <si>
    <t xml:space="preserve">  Výdaje celkem</t>
  </si>
  <si>
    <t>SPECIFICKÉ UKAZATELE -  VÝDAJE CELKEM</t>
  </si>
  <si>
    <t>PRŮŘEZOVÉ UKAZATELE</t>
  </si>
  <si>
    <t xml:space="preserve">pro </t>
  </si>
  <si>
    <t>návrh</t>
  </si>
  <si>
    <t>výhled</t>
  </si>
  <si>
    <t>Kapitola 333 - MŠMT</t>
  </si>
  <si>
    <t xml:space="preserve">Původní </t>
  </si>
  <si>
    <t xml:space="preserve"> Výdaje vedené v informačním systému programového financování EDS/SMVS celkem</t>
  </si>
  <si>
    <t>Schválený</t>
  </si>
  <si>
    <t>rozpočet</t>
  </si>
  <si>
    <t>vrácení výdajů z OP VaVpI 2011</t>
  </si>
  <si>
    <t>snížení ostatních běžných výdajů</t>
  </si>
  <si>
    <t>nepromítnutí 1 mld. do středněd. výhledu</t>
  </si>
  <si>
    <t>úpravy do výše směrných čísel</t>
  </si>
  <si>
    <t>přesun 450 mil. do OP VaVpI (PO4)</t>
  </si>
  <si>
    <t>Schv. rozpočet</t>
  </si>
  <si>
    <t>Vlivy</t>
  </si>
  <si>
    <t>k 1.1.2011</t>
  </si>
  <si>
    <t>1.</t>
  </si>
  <si>
    <t>2.</t>
  </si>
  <si>
    <t>3.</t>
  </si>
  <si>
    <t>4.</t>
  </si>
  <si>
    <t>5.</t>
  </si>
  <si>
    <t xml:space="preserve">roku </t>
  </si>
  <si>
    <t>výhledu 2012</t>
  </si>
  <si>
    <t>oproti r. 2011</t>
  </si>
  <si>
    <t>Rozpočet vysokých škol na rok 2012</t>
  </si>
  <si>
    <t xml:space="preserve">   Vysoké školy</t>
  </si>
  <si>
    <t xml:space="preserve"> Ostatní běžné výdaje mimo ost.běžné výdaje OSS a PO</t>
  </si>
  <si>
    <t>Bilance zdrojů pro rozdělení příspěvku a dotací vysokým školám v r. 2012</t>
  </si>
  <si>
    <t>(nezahrnuje dotace na programy reprodukce majetku; prostředky určené na programy spolufinancované s EU jsou na konci tabulky odečteny)</t>
  </si>
  <si>
    <t>Položka</t>
  </si>
  <si>
    <t>Rok 2010</t>
  </si>
  <si>
    <t>Rok 2011</t>
  </si>
  <si>
    <t>2012 odhad</t>
  </si>
  <si>
    <t>%</t>
  </si>
  <si>
    <t>Rok 2012 odhad</t>
  </si>
  <si>
    <t>Rozdíl v %</t>
  </si>
  <si>
    <t>Průměrný normativ</t>
  </si>
  <si>
    <t>Výpočtové stipendium v doktorském studiu</t>
  </si>
  <si>
    <t>Základní normativ</t>
  </si>
  <si>
    <t xml:space="preserve">Výpočtové ubytovací stipendium na 1 studenta </t>
  </si>
  <si>
    <t xml:space="preserve">Normativ absolventa </t>
  </si>
  <si>
    <t>x</t>
  </si>
  <si>
    <t>Měsíční sociální stipendium</t>
  </si>
  <si>
    <t>Výpočtová dotace na 1  jídlo</t>
  </si>
  <si>
    <t>Příspěvek *)</t>
  </si>
  <si>
    <t>Dotace *)</t>
  </si>
  <si>
    <t>Název ukazatele / položky</t>
  </si>
  <si>
    <r>
      <t xml:space="preserve">Rozpočet 2010 
</t>
    </r>
    <r>
      <rPr>
        <sz val="11"/>
        <rFont val="Arial"/>
        <family val="2"/>
      </rPr>
      <t>(+ 800 mil. Kč)</t>
    </r>
  </si>
  <si>
    <r>
      <t xml:space="preserve">Rozpočet 2011 
</t>
    </r>
    <r>
      <rPr>
        <sz val="11"/>
        <rFont val="Arial"/>
        <family val="2"/>
      </rPr>
      <t>(+ 1000 mil. Kč)</t>
    </r>
  </si>
  <si>
    <t>Rozpočet 2012</t>
  </si>
  <si>
    <t>Rozpočtový okruh 1, institucionální část rozpočtu</t>
  </si>
  <si>
    <t>P</t>
  </si>
  <si>
    <t>Ukazatel A+B1 - studijní programy</t>
  </si>
  <si>
    <t xml:space="preserve">Ukazatel B 2 - studijní programy, bonifikace za absolventy B,M,N,P </t>
  </si>
  <si>
    <t>Ukazatel K (dříve B3) - kvalita a výkon</t>
  </si>
  <si>
    <t>Celkem normativní část rozpočtu</t>
  </si>
  <si>
    <t>Rozpočtový okruh II, Sociální záležitosti studentů</t>
  </si>
  <si>
    <t>Ukazatel C - stipendia pro studenty doktorských stud. prog.</t>
  </si>
  <si>
    <t>D</t>
  </si>
  <si>
    <t>Ukazatel J - dotace na ubytování a stravování studentů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</si>
  <si>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</si>
  <si>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</si>
  <si>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</si>
  <si>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</si>
  <si>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Celkem sociální záležitosti studentů</t>
  </si>
  <si>
    <t>Rozpočtový okruh III, Rozvoj vysokých škol</t>
  </si>
  <si>
    <t>Ukazatel G - fond rozvoje vysokých škol</t>
  </si>
  <si>
    <t xml:space="preserve">Ukazatel I - rozvojové programy </t>
  </si>
  <si>
    <t>Celkem rozvoj vysokých škol</t>
  </si>
  <si>
    <t>Rozpočtový okruh IV, Mezinárodní spolupráce a ostatní</t>
  </si>
  <si>
    <t>Ukazatel D - zahraniční studenti, mezinár. spolupráce</t>
  </si>
  <si>
    <t>V tom:</t>
  </si>
  <si>
    <t>AKCION</t>
  </si>
  <si>
    <t>CEEPUS</t>
  </si>
  <si>
    <t>ERASMUS</t>
  </si>
  <si>
    <t>Letní školy slovanských studií</t>
  </si>
  <si>
    <t>Zahraniční studenti (mezinárodní dohody)</t>
  </si>
  <si>
    <t>Cestovní náhrady</t>
  </si>
  <si>
    <t>Zahraniční rozvoj. pomoc</t>
  </si>
  <si>
    <t>Ukazatel F - Fond vzdělávací politiky</t>
  </si>
  <si>
    <t>Nové VVŠ (nefinancované dosud zcela nebo zčásti z Ukazatele A)</t>
  </si>
  <si>
    <t>Podpora tvůrčích činností</t>
  </si>
  <si>
    <t>Soukromé VŠ</t>
  </si>
  <si>
    <t>Univerzita obrany</t>
  </si>
  <si>
    <t>Tlumočnické služby pro neslyšící</t>
  </si>
  <si>
    <t>Závěry Melkského procesu k JETE</t>
  </si>
  <si>
    <t>Univerzita třetího věku (U3V)</t>
  </si>
  <si>
    <t>Studium studentů se specifickými potřebami (SSP)</t>
  </si>
  <si>
    <t>Genofondy - odborná praxe na škol. zeměděl. nebo lesních statcích</t>
  </si>
  <si>
    <t xml:space="preserve">Ostatní </t>
  </si>
  <si>
    <t>Ukazatel M - mimořádné aktivity</t>
  </si>
  <si>
    <t>Celkem Mezinárodní spolupráce a ostatní</t>
  </si>
  <si>
    <r>
      <t xml:space="preserve">Celkem příspěvek + dotace </t>
    </r>
  </si>
  <si>
    <t>Prostředky přidělené sekci 4 pro účely spolufinancování programu VaVpI</t>
  </si>
  <si>
    <t>Ukazatel rozpočtu vysokých škol</t>
  </si>
  <si>
    <t>Rozdíl</t>
  </si>
  <si>
    <t>*) V některých ukazatelích může být poskytnut příspěvek nebo dotace v závislosti na účelu, na který se poskytuje.</t>
  </si>
  <si>
    <t>Rozpis jednotlivých ukazatelů rozpočtu 2012 veřejným vysokým školám</t>
  </si>
  <si>
    <t>Výstup ze SIMS podle stavu k 31. 10. 2011</t>
  </si>
  <si>
    <t>v tis. Kč</t>
  </si>
  <si>
    <t>Kód VŠ</t>
  </si>
  <si>
    <t>Název VŠ</t>
  </si>
  <si>
    <t>Ukazatel A</t>
  </si>
  <si>
    <t>Ukazatel K</t>
  </si>
  <si>
    <t>Ukazatel C</t>
  </si>
  <si>
    <t>Ukazatel J</t>
  </si>
  <si>
    <t>Ukazatel U (VVŠ)</t>
  </si>
  <si>
    <t>Ukazatel F (U3V)</t>
  </si>
  <si>
    <t>Ukazatel F (SSP)</t>
  </si>
  <si>
    <r>
      <t xml:space="preserve">Ukazatel G (FRVŠ) </t>
    </r>
    <r>
      <rPr>
        <sz val="8"/>
        <color indexed="8"/>
        <rFont val="Arial"/>
        <family val="2"/>
      </rPr>
      <t>(1)</t>
    </r>
  </si>
  <si>
    <r>
      <t xml:space="preserve">Ukazatel I (IRP) </t>
    </r>
    <r>
      <rPr>
        <sz val="8"/>
        <color indexed="8"/>
        <rFont val="Arial"/>
        <family val="2"/>
      </rPr>
      <t>(2)</t>
    </r>
  </si>
  <si>
    <t xml:space="preserve">UK </t>
  </si>
  <si>
    <t>JU</t>
  </si>
  <si>
    <t xml:space="preserve">UJEP </t>
  </si>
  <si>
    <t>MU</t>
  </si>
  <si>
    <t>UP</t>
  </si>
  <si>
    <t>VFU Brno</t>
  </si>
  <si>
    <t>OU</t>
  </si>
  <si>
    <t>UHK</t>
  </si>
  <si>
    <t>SU</t>
  </si>
  <si>
    <t>ČVUT</t>
  </si>
  <si>
    <t>VŠCHT Praha</t>
  </si>
  <si>
    <t>ZČU</t>
  </si>
  <si>
    <t>TUL</t>
  </si>
  <si>
    <t>UPa</t>
  </si>
  <si>
    <t>VUT v Brně</t>
  </si>
  <si>
    <t>VŠB-TUO</t>
  </si>
  <si>
    <t>UTB ve Zlíně</t>
  </si>
  <si>
    <t>VŠE</t>
  </si>
  <si>
    <t>ČZU v Praze</t>
  </si>
  <si>
    <t>MENDELU</t>
  </si>
  <si>
    <t>AMU v Praze</t>
  </si>
  <si>
    <t>AVU v Praze</t>
  </si>
  <si>
    <t>VŠUP v Praze</t>
  </si>
  <si>
    <t>JAMU</t>
  </si>
  <si>
    <t>VŠP Jihlava</t>
  </si>
  <si>
    <t>VŠTE</t>
  </si>
  <si>
    <t>Celkem</t>
  </si>
  <si>
    <r>
      <rPr>
        <sz val="8"/>
        <color indexed="8"/>
        <rFont val="Arial"/>
        <family val="2"/>
      </rPr>
      <t xml:space="preserve">(1) </t>
    </r>
    <r>
      <rPr>
        <sz val="10"/>
        <color indexed="8"/>
        <rFont val="Arial"/>
        <family val="2"/>
      </rPr>
      <t>Alokace finančních prostředků na ukazatel G je pro rok 2012 ve výši 287 548 tis. Kč. K datu 26.1.2012 byly rozepsány prostředky ve výši 256 448 tis. Kč, zbývajících 31 000 tis. Kč je rezervováno na 2. kolo výběrového řízení.</t>
    </r>
  </si>
  <si>
    <r>
      <rPr>
        <sz val="8"/>
        <color indexed="8"/>
        <rFont val="Arial"/>
        <family val="2"/>
      </rPr>
      <t>(2)</t>
    </r>
    <r>
      <rPr>
        <sz val="10"/>
        <color indexed="8"/>
        <rFont val="Arial"/>
        <family val="2"/>
      </rPr>
      <t xml:space="preserve"> Ukazatel I uvádí pouze alokace na Institucionální rozvojové plány v celkové výši 792 299 tis. Kč. Pro centralizované rozvojové programy je na rok 2012 alokace ve výši 182 435 tis. Kč.</t>
    </r>
  </si>
  <si>
    <t>Ukazatel A, výpočet na rok 2012</t>
  </si>
  <si>
    <t>Poznámka:</t>
  </si>
  <si>
    <t>Data podle SIMS ke dni 31.10.2011.</t>
  </si>
  <si>
    <t>Kategorie:</t>
  </si>
  <si>
    <t>B1</t>
  </si>
  <si>
    <t>bakalářská studia, první rok studia</t>
  </si>
  <si>
    <t>Počty přepočtených studentů magisterských studijních programů M5104 Stomatologie a M5111 Zubní lékařství, P5155 Stomatologie a zubní lékařství, které nejsou limitovány, jsou uvedeny v samostatné tabulce dole.</t>
  </si>
  <si>
    <t>M1</t>
  </si>
  <si>
    <t>magisterská studia pěti až šestiletá první, rok studia</t>
  </si>
  <si>
    <t>N1</t>
  </si>
  <si>
    <t>magisterská studia navazující na bakalářská studia, první rok studia</t>
  </si>
  <si>
    <t>P1</t>
  </si>
  <si>
    <t>doktorská studia, první rok studia</t>
  </si>
  <si>
    <t>Podle dopisu NM č. j. 28317/2011-33 byl VFU zvýšen limit počtu v kat. M1 o 21 studií a snížen limit v kat. N1 o tutéž hodnotu.</t>
  </si>
  <si>
    <t>SP2+</t>
  </si>
  <si>
    <t>všechny typy studia, druhé a další roky studia</t>
  </si>
  <si>
    <t>Podle dopisu NM č. j. 37813/2011-33 byl SU zvýšen limit počtu v kat. B1 o 1,5 studií a snížen limit v kat. M1 o tutéž hodnotu.</t>
  </si>
  <si>
    <t xml:space="preserve">Na žádost UK č. j. 11858/2011-II snížen skutečný přepočtený počet studentů ve stud. programu M5111 Zubní lékařství v kategorii M1 o 18. </t>
  </si>
  <si>
    <t>Kategorie</t>
  </si>
  <si>
    <t>Skutečný počet přepočt. studentů k 31. 10. 201 bez stud. programů 5104, 5111 a 5155</t>
  </si>
  <si>
    <t>Výsledek projednání - akceptovaný/ dohodnutý počet pro rok 2012 bez stud. programů 5104, 5111 a 5155</t>
  </si>
  <si>
    <t xml:space="preserve">Započtený počet přepočtených studentů bez SP 5104, 5111 a 5155 </t>
  </si>
  <si>
    <t>Stud. programy 5104, 5111 a 5155</t>
  </si>
  <si>
    <t>Započtený počet přepočt. studentů vč. 5104, 5111 a 5155</t>
  </si>
  <si>
    <t>Průměrný koef. ekon. náročnosti ke sl. 5</t>
  </si>
  <si>
    <t>Počet normativních studentů ke sl. 5</t>
  </si>
  <si>
    <t>Počet normativních studentů programů 5104, 5111 a 5155</t>
  </si>
  <si>
    <t>Počet normativních studentů celkem</t>
  </si>
  <si>
    <t>Částka na jednu VVŠ v tis. Kč</t>
  </si>
  <si>
    <t>Počet nevyužitých míst do limitu</t>
  </si>
  <si>
    <t>Počet nadlimitních přepočt. studentů</t>
  </si>
  <si>
    <t>UK Praha</t>
  </si>
  <si>
    <t>SUMA: B1</t>
  </si>
  <si>
    <t>SUMA: M1</t>
  </si>
  <si>
    <t>SUMA: N1</t>
  </si>
  <si>
    <t>SUMA: P1</t>
  </si>
  <si>
    <t>SUMA: SP2+</t>
  </si>
  <si>
    <t>JU České Budějovice</t>
  </si>
  <si>
    <t>JU Č.B.</t>
  </si>
  <si>
    <t>UJEP Ústí nad Labem</t>
  </si>
  <si>
    <t>UJEP Ústí n.L.</t>
  </si>
  <si>
    <t>MU Brno</t>
  </si>
  <si>
    <t>UP Olomouc</t>
  </si>
  <si>
    <t>OU Ostrava</t>
  </si>
  <si>
    <t>Univerzita Hradec Králové</t>
  </si>
  <si>
    <t>Univerzita Hr. Král.</t>
  </si>
  <si>
    <t>SU Opava</t>
  </si>
  <si>
    <t>ČVUT Praha</t>
  </si>
  <si>
    <t>ČVUT Praha *)</t>
  </si>
  <si>
    <t>ZČU Plzeň</t>
  </si>
  <si>
    <t>TU Liberec</t>
  </si>
  <si>
    <t>UPa Pardubice</t>
  </si>
  <si>
    <t>VUT Brno</t>
  </si>
  <si>
    <t>VŠB-TU Ostrava</t>
  </si>
  <si>
    <t>UTB Zlín</t>
  </si>
  <si>
    <t>VŠE Praha</t>
  </si>
  <si>
    <t>ČZU Praha</t>
  </si>
  <si>
    <t>Mendelu Brno</t>
  </si>
  <si>
    <t>MZLU Brno</t>
  </si>
  <si>
    <t>AMU Praha</t>
  </si>
  <si>
    <t>AVU Praha</t>
  </si>
  <si>
    <t>JAMU Brno</t>
  </si>
  <si>
    <t>VŠ polytech. Jihlava **)</t>
  </si>
  <si>
    <t>VŠ polytech. Jihlava</t>
  </si>
  <si>
    <t>VŠTE Č. Budějovice **)</t>
  </si>
  <si>
    <t>VŠTE Č. B.</t>
  </si>
  <si>
    <t>VŠTE Č. Budějovice</t>
  </si>
  <si>
    <t>Souhrn</t>
  </si>
  <si>
    <t>Souhrnné údaje</t>
  </si>
  <si>
    <t>Počet všech přepočtených studentů</t>
  </si>
  <si>
    <t>Celkem počet norm. stud.(bez UO)</t>
  </si>
  <si>
    <t>Stud. programy M5104, M5111 a 5155 - počet přepočtených studentů</t>
  </si>
  <si>
    <t>Počet přepočtených studentů zahrnutých do výpočtu</t>
  </si>
  <si>
    <t>A  (tis. Kč) =</t>
  </si>
  <si>
    <t>Meziroční nárůst přepočtených studentů zahrnutých do výpočtu</t>
  </si>
  <si>
    <t>Počet normativních studentů</t>
  </si>
  <si>
    <t>Celková výpočtová částka před zaokrouhlením</t>
  </si>
  <si>
    <t>Průměrný koeficient ekonomické náročnosti</t>
  </si>
  <si>
    <t>Ukazatel A+K</t>
  </si>
  <si>
    <t>Průměrný normativ (ukaz. A+K ku počtu normativních studentů)</t>
  </si>
  <si>
    <t>Studijní programy 5104 Stomatologie, 5111 Zubní lékařství a 5155 Stomatologie a zubní lékařství</t>
  </si>
  <si>
    <t>Kód fakulty</t>
  </si>
  <si>
    <t>Název fakulty</t>
  </si>
  <si>
    <t>Nově přijatí</t>
  </si>
  <si>
    <t>Zvláštní</t>
  </si>
  <si>
    <t>Ostatní</t>
  </si>
  <si>
    <t>Půlroční</t>
  </si>
  <si>
    <t>Přepočtený počet studentů</t>
  </si>
  <si>
    <t>Normativní počet studentů</t>
  </si>
  <si>
    <t>UK v Praze</t>
  </si>
  <si>
    <t>1. lékařská fakulta</t>
  </si>
  <si>
    <t>Lékařská fakulta v Plzni</t>
  </si>
  <si>
    <t>Lékařská fakulta v Hradci Králové</t>
  </si>
  <si>
    <t>OPRAVA</t>
  </si>
  <si>
    <t>PO OPRAVĚ</t>
  </si>
  <si>
    <t>Lékařská fakulta</t>
  </si>
  <si>
    <t>UP v Olomouci</t>
  </si>
  <si>
    <t>Celkem všichni</t>
  </si>
  <si>
    <t>Ukazatel K, výpočet na rok 2012</t>
  </si>
  <si>
    <t>Zdroj: Zásady a pravidla financování veřejných vysokých škol pro rok 2012, 9.11.2011</t>
  </si>
  <si>
    <t>Veřejné vysoké školy</t>
  </si>
  <si>
    <t>Vědecký a umělecký výkon vysoké školy</t>
  </si>
  <si>
    <t>Podíl na K 
(v%)</t>
  </si>
  <si>
    <t>Podíl na K 
(v tis. Kč)</t>
  </si>
  <si>
    <r>
      <t xml:space="preserve">Započítané body RIV (absolutně) + </t>
    </r>
    <r>
      <rPr>
        <b/>
        <u val="single"/>
        <sz val="8"/>
        <rFont val="Arial"/>
        <family val="2"/>
      </rPr>
      <t>bez komp.</t>
    </r>
    <r>
      <rPr>
        <b/>
        <sz val="8"/>
        <rFont val="Arial"/>
        <family val="2"/>
      </rPr>
      <t xml:space="preserve"> pro uměl. VŠ</t>
    </r>
  </si>
  <si>
    <t>Započítané body RUV</t>
  </si>
  <si>
    <t>Účelové neinvestiční prostředky na výzkum</t>
  </si>
  <si>
    <t>Příjmy z vlastní činnosti VVŠ</t>
  </si>
  <si>
    <t>Počet profesorů a docentů</t>
  </si>
  <si>
    <t>Zaměstnanost absolventů (absolutní)</t>
  </si>
  <si>
    <t>Cizinci v příslušném typu studijního programu</t>
  </si>
  <si>
    <t>„Samoplátci“ v příslušném typu studijního programu</t>
  </si>
  <si>
    <t>Vyslaní v rámci mobilitních programů 
(včetně ECTS a DS)</t>
  </si>
  <si>
    <t>Přijatí v rámci mobilitních programů 
(včetně ECTS a DS)</t>
  </si>
  <si>
    <t>Váhy parametrů</t>
  </si>
  <si>
    <t>VVŠ celkem</t>
  </si>
  <si>
    <t>Počty fyzických studentů veřejných vysokých škol a soukromých vysokých škol a počty přepočtených ("financovaných") studentů VVŠ v letech 2000 až 2012</t>
  </si>
  <si>
    <t>K roku financování (data jsou spočtena vždy k 31.10. předchozího roku)</t>
  </si>
  <si>
    <t>2004 bez propado- vosti *)</t>
  </si>
  <si>
    <t>2009</t>
  </si>
  <si>
    <t>2010</t>
  </si>
  <si>
    <t>Fyzický počet studentů veřejných VŠ + soukromých VŠ</t>
  </si>
  <si>
    <t>Meziroční změna v procentech</t>
  </si>
  <si>
    <t>Přepočtený ("financovaný") počet studentů VVŠ podle definice ukazatele A**)</t>
  </si>
  <si>
    <t>Meziroční nárůst financovaného počtu studentů v procentech</t>
  </si>
  <si>
    <t xml:space="preserve">**)  </t>
  </si>
  <si>
    <t>V r. 2004 byla upravena definice "propadovosti". Tím se zvýšil počet přepočtených ("financovaných") studentů cca o 4784.</t>
  </si>
  <si>
    <t xml:space="preserve">Je započteno každé studium, které vyhovuje kritériím pro započtení podle Pravidel pro poskytování dotací (resp. příspěvků a dotací) vysokým školám. </t>
  </si>
  <si>
    <t xml:space="preserve">Kritéria se během let do jisté míry měnila (utvrzovala), zejm. v pohledu na financování "zvláštních" studentů. Kritéria v podstatě vycházejí z § 58 odst. 3 a 4 zákona </t>
  </si>
  <si>
    <t>č. 111/1998 Sb., o vysokých školách a o změně a doplnění dalších zákonů (zákon o vysokých školách), ve znění pozdějších předpisů.</t>
  </si>
  <si>
    <t xml:space="preserve">V r. 2009 nebylo započteno 9002, v r. 2010 14060, v r. 2011 17339, v roce 2012 10986 přepočtených studentů, kteří překračovali limity akceptované ministerstvem v souladu s pravidly, </t>
  </si>
  <si>
    <t>dohodnutými pro příslušný rok s reprezentací veřejných VŠ. V této tabulce jsou uvedeny počty přepočtených studentů, kteří byli zahrnuti do výpočtu příspěvku podle ukaztele A.</t>
  </si>
  <si>
    <t>V r. 2010, 2011 a 2012 byli z ukazatele F rozpočtu vysokých škol hrazeni rovněž civilní studenti Univerzity obrany v souladu se zákonem o vysokých školách § 95 odst. 1.</t>
  </si>
  <si>
    <t>Přehled prostředků poskytnutých vysokým školám v letech 2000-2011 z kapitoly 333 - MŠMT</t>
  </si>
  <si>
    <t>Komentáře</t>
  </si>
  <si>
    <t xml:space="preserve"> - údaje za roky 2000-2010 jsou převzaty ze závěrečného účtu kapitoly 333-MŠMT příslušných let, tabulka nezahrnuje prostředky poskytnuté z OP VK ani OP VaVpI</t>
  </si>
  <si>
    <t xml:space="preserve"> - převody do rezevního fondu za rok 2000-2004 jsou převzaty z databáze ARIS (sloupec 11), další ze závěrečného účtu</t>
  </si>
  <si>
    <t xml:space="preserve"> - stav k 31.12. příslušného roku.</t>
  </si>
  <si>
    <t>Rok</t>
  </si>
  <si>
    <t>Prostředky z kapitoly 333-MŠMT, poskytnuté vysokým školám (tis. Kč)</t>
  </si>
  <si>
    <t>Prostředky NIV i INV na vzdělávací činnost (pouze veřejné vysoké školy) bez programů reprodukce majetku</t>
  </si>
  <si>
    <t>Zahraniční rozvojová pomoc a ostatní dotace z kap. 333</t>
  </si>
  <si>
    <r>
      <t xml:space="preserve">Prostředky na ubytování a stravování studentů </t>
    </r>
    <r>
      <rPr>
        <sz val="8"/>
        <rFont val="Arial"/>
        <family val="2"/>
      </rPr>
      <t>(1)</t>
    </r>
  </si>
  <si>
    <t>Programové financování INV i NIV</t>
  </si>
  <si>
    <t>Výzkum a vývoj (kapitálové i běžné výdaje)</t>
  </si>
  <si>
    <t>Meziroční růst výdajů na výzkum a vývoj</t>
  </si>
  <si>
    <t>Prostředky soukromým vysokým školám</t>
  </si>
  <si>
    <r>
      <t xml:space="preserve">Převody do rezervního fondu MŠMT </t>
    </r>
    <r>
      <rPr>
        <sz val="8"/>
        <rFont val="Arial"/>
        <family val="2"/>
      </rPr>
      <t>(2)</t>
    </r>
  </si>
  <si>
    <r>
      <t xml:space="preserve">Celkem kapitola 333-MŠMT  bez rezervního fondu </t>
    </r>
    <r>
      <rPr>
        <sz val="8"/>
        <rFont val="Arial"/>
        <family val="2"/>
      </rPr>
      <t>(2)</t>
    </r>
  </si>
  <si>
    <t xml:space="preserve">Meziroční nárůst prostředků z kap. 333-MŠMT </t>
  </si>
  <si>
    <t>2011***)</t>
  </si>
  <si>
    <r>
      <rPr>
        <sz val="8"/>
        <rFont val="Arial"/>
        <family val="2"/>
      </rPr>
      <t>(1)</t>
    </r>
    <r>
      <rPr>
        <sz val="10"/>
        <rFont val="Arial"/>
        <family val="2"/>
      </rPr>
      <t xml:space="preserve"> Snížení částek je způsobeno změnou podpory ubytování studentů: od 1. 10. 2005 se místo dotace na provoz kolejí poskytuje ubytovací stipendium, které je zahrnuto do sloupce 2.</t>
    </r>
  </si>
  <si>
    <r>
      <rPr>
        <sz val="8"/>
        <rFont val="Arial"/>
        <family val="2"/>
      </rPr>
      <t>(2)</t>
    </r>
    <r>
      <rPr>
        <sz val="10"/>
        <rFont val="Arial"/>
        <family val="0"/>
      </rPr>
      <t xml:space="preserve"> Změnou zákona č. 218/2000 Sb., o rozpočtových pravidlech, ve znění pozdějších předpisů, se od r. 2008 netvoří "rezervní fond" ale "nároky z nespotřebovaných výdajů". Údaje ve sloupci 9 zahrnuje nároky z nespotřebovaných výdajů z rozpočtu VŠ, VaV a ISPROFIN.</t>
    </r>
  </si>
  <si>
    <r>
      <rPr>
        <sz val="8"/>
        <rFont val="Arial"/>
        <family val="2"/>
      </rPr>
      <t>(3)</t>
    </r>
    <r>
      <rPr>
        <sz val="10"/>
        <rFont val="Arial"/>
        <family val="2"/>
      </rPr>
      <t xml:space="preserve"> Údaj ve sl. 2 zahrnuje použití nespotřebovaných výdajů z roku 2010  ve výši 1 411 tis. Kč.</t>
    </r>
  </si>
  <si>
    <t>Poznámka: rok 2009-sl. 3 - částka 676 475 tis. Kč se skládá  v tis. Kč:</t>
  </si>
  <si>
    <t>Poznámka: rok 2010-sl. 3 - částka 114 404 tis. Kč se skládá  v tis. Kč:</t>
  </si>
  <si>
    <t>vzdělávání národnosních menšin</t>
  </si>
  <si>
    <t>integrace romů</t>
  </si>
  <si>
    <t>ostatní záležitosti vzdělávání</t>
  </si>
  <si>
    <t>využití volného času dětí a mládeže</t>
  </si>
  <si>
    <t>prevence kriminality</t>
  </si>
  <si>
    <t>prevence před drogami</t>
  </si>
  <si>
    <t>humanitární zahr. Činnost</t>
  </si>
  <si>
    <t>zahr. rozvojová pomoc</t>
  </si>
  <si>
    <t>OP VK programy kultur. dědictví</t>
  </si>
  <si>
    <t>Přehled rozpočtovaných prostředků pro vysoké školy v období let 2000-2012 z kapitoly 333 - MŠMT</t>
  </si>
  <si>
    <t>Schválený rozpočet</t>
  </si>
  <si>
    <r>
      <t xml:space="preserve">Poznámka: </t>
    </r>
    <r>
      <rPr>
        <sz val="10"/>
        <rFont val="Arial CE"/>
        <family val="0"/>
      </rPr>
      <t>údaje v tabulce za roky 2000 až 2004 jsou převzaty z rozpočtu i závěrečného účtu kapitoly 333-MŠMT, údaje let 2005 až 2012 jsou převzaty z rozpočtu kapitoly 333-MŠMT. Tabulka nezahrnuje prostředky operačních programů EU (OP VK, OP VaVpi).</t>
    </r>
  </si>
  <si>
    <t>Prostředky z kapitoly 333-MŠMT, rozpočtované pro vysoké školy (tis. Kč)</t>
  </si>
  <si>
    <t>Prostředky NIV i INV na vzdělávací činnost bez programů reprodukce majetku</t>
  </si>
  <si>
    <t>Prostředky na ubytování a stravování studentů</t>
  </si>
  <si>
    <t>Výzkum a vývoj, specific. VŠ výzkum</t>
  </si>
  <si>
    <t>Celkem kapitola 333-MŠMT</t>
  </si>
  <si>
    <t xml:space="preserve">Meziroční nárůst kap. 333-MŠMT </t>
  </si>
  <si>
    <t>Meziroční nárůst v %</t>
  </si>
  <si>
    <t>2010 *)</t>
  </si>
  <si>
    <t>*) Rozpočet po zvýšení o 800 mil. Kč podle usnesení vlády č. 54 ze dne 16. 1. 2010</t>
  </si>
  <si>
    <t>Kódy, zkratky a plné názvy veřejných vysokých škol</t>
  </si>
  <si>
    <t>použité v rozpisu rozpočtu vysokých škol</t>
  </si>
  <si>
    <t>Kód</t>
  </si>
  <si>
    <t>Zkratka</t>
  </si>
  <si>
    <t>Plný název veřejné vysoké školy</t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</si>
  <si>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</si>
  <si>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</si>
  <si>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</si>
  <si>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</si>
  <si>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</si>
  <si>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>Veterinární a farmaceutická univerzita Brno</t>
  </si>
  <si>
    <t>Ostravská univerzita v Ostravě</t>
  </si>
  <si>
    <t>Slezská univerzita v Opavě</t>
  </si>
  <si>
    <t>České vysoké učení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</si>
  <si>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</si>
  <si>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</si>
  <si>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</si>
  <si>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</si>
  <si>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</si>
  <si>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-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</si>
  <si>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</si>
  <si>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</si>
  <si>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</si>
  <si>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</si>
  <si>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</si>
  <si>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</si>
  <si>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uměleckoprůmyslová v Praze</t>
  </si>
  <si>
    <t>Janáčkova akademie múzických umění v Brně</t>
  </si>
  <si>
    <t>Vysoká škola polytechnická Jihlava</t>
  </si>
  <si>
    <t>Vysoká škola technická a ekonomická v Českých Budějovicích</t>
  </si>
  <si>
    <t>Na žádost MENDELU č.j. 25383/2011-921 ze dne 30.11.2011 byl snížen skutečný počet přepočt.studentů v kat. P1 o 12 studií. Viz dopis vedoucí SOD 33 č.j. 39571/2011-33</t>
  </si>
  <si>
    <r>
      <t xml:space="preserve">% podíl z celku </t>
    </r>
    <r>
      <rPr>
        <i/>
        <sz val="11"/>
        <rFont val="Arial"/>
        <family val="2"/>
      </rPr>
      <t>(sl. 3)</t>
    </r>
  </si>
  <si>
    <r>
      <t xml:space="preserve">Meziroční vývoj 
</t>
    </r>
    <r>
      <rPr>
        <i/>
        <sz val="11"/>
        <rFont val="Arial"/>
        <family val="2"/>
      </rPr>
      <t>(sl. 3 vs 2)</t>
    </r>
  </si>
  <si>
    <r>
      <t xml:space="preserve">% podíl z celku </t>
    </r>
    <r>
      <rPr>
        <i/>
        <sz val="11"/>
        <rFont val="Arial"/>
        <family val="2"/>
      </rPr>
      <t>(sl. 6)</t>
    </r>
  </si>
  <si>
    <r>
      <t xml:space="preserve">Meziroční vývoj 
</t>
    </r>
    <r>
      <rPr>
        <i/>
        <sz val="11"/>
        <rFont val="Arial"/>
        <family val="2"/>
      </rPr>
      <t>(sl. 6 vs 3)</t>
    </r>
  </si>
  <si>
    <t xml:space="preserve"> 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</si>
</sst>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00%"/>
    <numFmt numFmtId="191" formatCode="0.0%"/>
    <numFmt numFmtId="192" formatCode="0.000000000"/>
    <numFmt numFmtId="193" formatCode="#,##0.00000000"/>
    <numFmt numFmtId="194" formatCode="#,##0.000000000000"/>
    <numFmt numFmtId="195" formatCode="0.000000000000"/>
    <numFmt numFmtId="196" formatCode="0.00000%"/>
    <numFmt numFmtId="197" formatCode="mmmm\ yy"/>
    <numFmt numFmtId="198" formatCode="mmmm\ yyyy"/>
    <numFmt numFmtId="199" formatCode="#,##0.0000000"/>
    <numFmt numFmtId="200" formatCode="0.0000000000"/>
    <numFmt numFmtId="201" formatCode="_-* #,##0.0\ &quot;Kč&quot;_-;\-* #,##0.0\ &quot;Kč&quot;_-;_-* &quot;-&quot;?\ &quot;Kč&quot;_-;_-@_-"/>
    <numFmt numFmtId="202" formatCode="#,##0\ &quot;Kč&quot;"/>
    <numFmt numFmtId="203" formatCode="#,##0.000\ &quot;Kč&quot;"/>
    <numFmt numFmtId="204" formatCode="#,##0.0000000000"/>
    <numFmt numFmtId="205" formatCode="#,##0.000000000"/>
    <numFmt numFmtId="206" formatCode="d/m/yyyy;@"/>
    <numFmt numFmtId="207" formatCode="#,##0.00\ &quot;Kč&quot;"/>
    <numFmt numFmtId="208" formatCode="#,##0_ ;[Red]\-#,##0\ ;\–\ "/>
    <numFmt numFmtId="209" formatCode="#,##0.0_ ;[Red]\-#,##0.0\ ;\–\ "/>
  </numFmts>
  <fonts count="93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name val="Times New Roman CE"/>
      <family val="0"/>
    </font>
    <font>
      <sz val="11"/>
      <name val="Arial CE"/>
      <family val="2"/>
    </font>
    <font>
      <sz val="16"/>
      <name val="Arial CE"/>
      <family val="2"/>
    </font>
    <font>
      <sz val="10"/>
      <color indexed="8"/>
      <name val="Arial"/>
      <family val="2"/>
    </font>
    <font>
      <b/>
      <sz val="2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2"/>
      <color indexed="6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i/>
      <sz val="8"/>
      <color indexed="12"/>
      <name val="Arial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0"/>
    </font>
    <font>
      <b/>
      <sz val="1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hair"/>
      <bottom style="hair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>
        <color indexed="10"/>
      </right>
      <top style="double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/>
      <right style="thin"/>
      <top style="double"/>
      <bottom style="thin"/>
    </border>
    <border>
      <left/>
      <right style="double">
        <color indexed="10"/>
      </right>
      <top style="double"/>
      <bottom style="thin"/>
    </border>
    <border>
      <left style="double">
        <color indexed="10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>
        <color indexed="10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/>
      <top style="medium"/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double">
        <color indexed="10"/>
      </bottom>
    </border>
    <border>
      <left style="double"/>
      <right/>
      <top/>
      <bottom style="double">
        <color indexed="10"/>
      </bottom>
    </border>
    <border>
      <left style="double">
        <color rgb="FFFF0000"/>
      </left>
      <right style="double">
        <color rgb="FFFF0000"/>
      </right>
      <top/>
      <bottom style="double">
        <color indexed="10"/>
      </bottom>
    </border>
    <border>
      <left/>
      <right style="thin"/>
      <top style="medium"/>
      <bottom style="double">
        <color indexed="10"/>
      </bottom>
    </border>
    <border>
      <left style="thin"/>
      <right style="thin"/>
      <top style="medium"/>
      <bottom style="double">
        <color indexed="10"/>
      </bottom>
    </border>
    <border>
      <left style="thin"/>
      <right style="thin"/>
      <top/>
      <bottom style="double">
        <color indexed="10"/>
      </bottom>
    </border>
    <border>
      <left style="thin"/>
      <right/>
      <top/>
      <bottom style="double">
        <color indexed="10"/>
      </bottom>
    </border>
    <border>
      <left style="double">
        <color indexed="10"/>
      </left>
      <right style="double">
        <color indexed="10"/>
      </right>
      <top/>
      <bottom style="double">
        <color indexed="10"/>
      </bottom>
    </border>
    <border>
      <left/>
      <right style="double"/>
      <top/>
      <bottom style="double">
        <color indexed="10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 style="double">
        <color indexed="10"/>
      </bottom>
    </border>
    <border>
      <left style="double"/>
      <right/>
      <top style="double"/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/>
      <bottom style="double">
        <color indexed="10"/>
      </bottom>
    </border>
    <border>
      <left/>
      <right style="thin"/>
      <top style="double"/>
      <bottom style="double">
        <color indexed="10"/>
      </bottom>
    </border>
    <border>
      <left style="thin"/>
      <right style="thin"/>
      <top style="double"/>
      <bottom style="double">
        <color indexed="10"/>
      </bottom>
    </border>
    <border>
      <left style="thin"/>
      <right/>
      <top style="double"/>
      <bottom style="double">
        <color indexed="10"/>
      </bottom>
    </border>
    <border>
      <left style="double">
        <color indexed="10"/>
      </left>
      <right style="double">
        <color indexed="10"/>
      </right>
      <top style="double"/>
      <bottom style="double">
        <color indexed="10"/>
      </bottom>
    </border>
    <border>
      <left/>
      <right style="double"/>
      <top style="double"/>
      <bottom style="double">
        <color indexed="10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>
        <color rgb="FFFF0000"/>
      </left>
      <right style="double">
        <color rgb="FFFF0000"/>
      </right>
      <top style="double"/>
      <bottom style="double"/>
    </border>
    <border>
      <left/>
      <right style="thin"/>
      <top style="double"/>
      <bottom style="double"/>
    </border>
    <border>
      <left style="double">
        <color indexed="10"/>
      </left>
      <right style="double">
        <color indexed="10"/>
      </right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/>
      <right style="medium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hair"/>
      <right/>
      <top style="medium"/>
      <bottom style="thin"/>
    </border>
    <border>
      <left/>
      <right style="thin"/>
      <top style="medium"/>
      <bottom style="thin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medium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hair"/>
      <right/>
      <top/>
      <bottom/>
    </border>
    <border>
      <left/>
      <right style="thin"/>
      <top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thin"/>
      <top/>
      <bottom style="medium"/>
    </border>
    <border>
      <left/>
      <right/>
      <top/>
      <bottom style="medium"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/>
      <right style="thin"/>
      <top/>
      <bottom style="medium"/>
    </border>
    <border>
      <left style="medium"/>
      <right style="hair"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hair"/>
      <right style="thin"/>
      <top style="thin"/>
      <bottom/>
    </border>
    <border>
      <left style="hair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60" applyFont="1" applyAlignment="1">
      <alignment vertical="center"/>
      <protection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3" fontId="0" fillId="0" borderId="0" xfId="56" applyNumberFormat="1" applyFont="1" applyFill="1" applyAlignment="1">
      <alignment horizontal="right" vertical="center"/>
      <protection/>
    </xf>
    <xf numFmtId="0" fontId="88" fillId="0" borderId="0" xfId="0" applyFont="1" applyAlignment="1">
      <alignment/>
    </xf>
    <xf numFmtId="0" fontId="0" fillId="0" borderId="10" xfId="0" applyBorder="1" applyAlignment="1">
      <alignment horizontal="center" textRotation="90" wrapText="1"/>
    </xf>
    <xf numFmtId="3" fontId="72" fillId="33" borderId="10" xfId="0" applyNumberFormat="1" applyFont="1" applyFill="1" applyBorder="1" applyAlignment="1">
      <alignment/>
    </xf>
    <xf numFmtId="3" fontId="72" fillId="3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8" fillId="0" borderId="0" xfId="60" applyNumberFormat="1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10" fontId="8" fillId="0" borderId="0" xfId="60" applyNumberFormat="1" applyFont="1" applyAlignment="1">
      <alignment vertic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9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3" fontId="72" fillId="33" borderId="13" xfId="0" applyNumberFormat="1" applyFont="1" applyFill="1" applyBorder="1" applyAlignment="1">
      <alignment/>
    </xf>
    <xf numFmtId="3" fontId="72" fillId="34" borderId="13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1" fillId="35" borderId="0" xfId="60" applyFont="1" applyFill="1" applyAlignment="1">
      <alignment horizontal="left" vertical="center"/>
      <protection/>
    </xf>
    <xf numFmtId="0" fontId="11" fillId="35" borderId="0" xfId="60" applyFont="1" applyFill="1" applyAlignment="1">
      <alignment vertical="center"/>
      <protection/>
    </xf>
    <xf numFmtId="0" fontId="12" fillId="35" borderId="0" xfId="60" applyFont="1" applyFill="1" applyAlignment="1">
      <alignment vertical="center"/>
      <protection/>
    </xf>
    <xf numFmtId="0" fontId="12" fillId="35" borderId="0" xfId="60" applyFont="1" applyFill="1" applyBorder="1" applyAlignment="1">
      <alignment vertical="center"/>
      <protection/>
    </xf>
    <xf numFmtId="191" fontId="12" fillId="35" borderId="0" xfId="60" applyNumberFormat="1" applyFont="1" applyFill="1" applyBorder="1" applyAlignment="1">
      <alignment horizontal="right" vertical="center"/>
      <protection/>
    </xf>
    <xf numFmtId="191" fontId="12" fillId="35" borderId="0" xfId="60" applyNumberFormat="1" applyFont="1" applyFill="1" applyAlignment="1">
      <alignment vertical="center"/>
      <protection/>
    </xf>
    <xf numFmtId="0" fontId="13" fillId="35" borderId="14" xfId="60" applyFont="1" applyFill="1" applyBorder="1" applyAlignment="1">
      <alignment horizontal="center" vertical="center"/>
      <protection/>
    </xf>
    <xf numFmtId="0" fontId="13" fillId="35" borderId="14" xfId="60" applyFont="1" applyFill="1" applyBorder="1" applyAlignment="1">
      <alignment horizontal="center" vertical="center" wrapText="1"/>
      <protection/>
    </xf>
    <xf numFmtId="0" fontId="13" fillId="35" borderId="15" xfId="60" applyFont="1" applyFill="1" applyBorder="1" applyAlignment="1">
      <alignment horizontal="center" vertical="center" wrapText="1"/>
      <protection/>
    </xf>
    <xf numFmtId="0" fontId="13" fillId="35" borderId="15" xfId="60" applyFont="1" applyFill="1" applyBorder="1" applyAlignment="1">
      <alignment horizontal="center" vertical="center"/>
      <protection/>
    </xf>
    <xf numFmtId="0" fontId="13" fillId="35" borderId="16" xfId="60" applyFont="1" applyFill="1" applyBorder="1" applyAlignment="1">
      <alignment horizontal="center" vertical="center"/>
      <protection/>
    </xf>
    <xf numFmtId="0" fontId="13" fillId="35" borderId="16" xfId="60" applyFont="1" applyFill="1" applyBorder="1" applyAlignment="1">
      <alignment horizontal="center" vertical="center" wrapText="1"/>
      <protection/>
    </xf>
    <xf numFmtId="0" fontId="13" fillId="35" borderId="17" xfId="60" applyFont="1" applyFill="1" applyBorder="1" applyAlignment="1">
      <alignment horizontal="center" vertical="center"/>
      <protection/>
    </xf>
    <xf numFmtId="3" fontId="11" fillId="35" borderId="18" xfId="60" applyNumberFormat="1" applyFont="1" applyFill="1" applyBorder="1" applyAlignment="1">
      <alignment horizontal="center" vertical="center" wrapText="1"/>
      <protection/>
    </xf>
    <xf numFmtId="3" fontId="11" fillId="35" borderId="19" xfId="60" applyNumberFormat="1" applyFont="1" applyFill="1" applyBorder="1" applyAlignment="1">
      <alignment horizontal="center" vertical="center" wrapText="1"/>
      <protection/>
    </xf>
    <xf numFmtId="191" fontId="12" fillId="35" borderId="19" xfId="60" applyNumberFormat="1" applyFont="1" applyFill="1" applyBorder="1" applyAlignment="1">
      <alignment horizontal="center" vertical="center"/>
      <protection/>
    </xf>
    <xf numFmtId="202" fontId="11" fillId="35" borderId="18" xfId="59" applyNumberFormat="1" applyFont="1" applyFill="1" applyBorder="1" applyAlignment="1">
      <alignment horizontal="center" vertical="center"/>
      <protection/>
    </xf>
    <xf numFmtId="191" fontId="12" fillId="35" borderId="20" xfId="60" applyNumberFormat="1" applyFont="1" applyFill="1" applyBorder="1" applyAlignment="1">
      <alignment horizontal="center" vertical="center"/>
      <protection/>
    </xf>
    <xf numFmtId="3" fontId="11" fillId="35" borderId="13" xfId="60" applyNumberFormat="1" applyFont="1" applyFill="1" applyBorder="1" applyAlignment="1">
      <alignment horizontal="center" vertical="center" wrapText="1"/>
      <protection/>
    </xf>
    <xf numFmtId="3" fontId="11" fillId="35" borderId="21" xfId="60" applyNumberFormat="1" applyFont="1" applyFill="1" applyBorder="1" applyAlignment="1">
      <alignment horizontal="center" vertical="center" wrapText="1"/>
      <protection/>
    </xf>
    <xf numFmtId="191" fontId="12" fillId="35" borderId="21" xfId="60" applyNumberFormat="1" applyFont="1" applyFill="1" applyBorder="1" applyAlignment="1">
      <alignment horizontal="center" vertical="center"/>
      <protection/>
    </xf>
    <xf numFmtId="6" fontId="11" fillId="35" borderId="10" xfId="60" applyNumberFormat="1" applyFont="1" applyFill="1" applyBorder="1" applyAlignment="1">
      <alignment horizontal="center" vertical="center"/>
      <protection/>
    </xf>
    <xf numFmtId="191" fontId="12" fillId="35" borderId="22" xfId="60" applyNumberFormat="1" applyFont="1" applyFill="1" applyBorder="1" applyAlignment="1">
      <alignment horizontal="center" vertical="center"/>
      <protection/>
    </xf>
    <xf numFmtId="3" fontId="11" fillId="35" borderId="23" xfId="60" applyNumberFormat="1" applyFont="1" applyFill="1" applyBorder="1" applyAlignment="1">
      <alignment horizontal="center" vertical="center" wrapText="1"/>
      <protection/>
    </xf>
    <xf numFmtId="3" fontId="11" fillId="35" borderId="24" xfId="60" applyNumberFormat="1" applyFont="1" applyFill="1" applyBorder="1" applyAlignment="1">
      <alignment horizontal="center" vertical="center" wrapText="1"/>
      <protection/>
    </xf>
    <xf numFmtId="191" fontId="12" fillId="35" borderId="24" xfId="60" applyNumberFormat="1" applyFont="1" applyFill="1" applyBorder="1" applyAlignment="1">
      <alignment horizontal="center" vertical="center"/>
      <protection/>
    </xf>
    <xf numFmtId="8" fontId="11" fillId="35" borderId="23" xfId="60" applyNumberFormat="1" applyFont="1" applyFill="1" applyBorder="1" applyAlignment="1">
      <alignment horizontal="center" vertical="center"/>
      <protection/>
    </xf>
    <xf numFmtId="191" fontId="12" fillId="35" borderId="25" xfId="60" applyNumberFormat="1" applyFont="1" applyFill="1" applyBorder="1" applyAlignment="1">
      <alignment horizontal="center" vertical="center"/>
      <protection/>
    </xf>
    <xf numFmtId="0" fontId="11" fillId="35" borderId="0" xfId="60" applyFont="1" applyFill="1" applyBorder="1" applyAlignment="1">
      <alignment horizontal="left" vertical="center" wrapText="1"/>
      <protection/>
    </xf>
    <xf numFmtId="1" fontId="11" fillId="0" borderId="26" xfId="60" applyNumberFormat="1" applyFont="1" applyFill="1" applyBorder="1" applyAlignment="1">
      <alignment horizontal="center" vertical="center"/>
      <protection/>
    </xf>
    <xf numFmtId="1" fontId="11" fillId="0" borderId="14" xfId="60" applyNumberFormat="1" applyFont="1" applyFill="1" applyBorder="1" applyAlignment="1">
      <alignment horizontal="center" vertical="center"/>
      <protection/>
    </xf>
    <xf numFmtId="1" fontId="11" fillId="0" borderId="27" xfId="60" applyNumberFormat="1" applyFont="1" applyFill="1" applyBorder="1" applyAlignment="1">
      <alignment horizontal="center" vertical="center"/>
      <protection/>
    </xf>
    <xf numFmtId="0" fontId="14" fillId="35" borderId="28" xfId="60" applyFont="1" applyFill="1" applyBorder="1" applyAlignment="1">
      <alignment vertical="center"/>
      <protection/>
    </xf>
    <xf numFmtId="0" fontId="14" fillId="35" borderId="0" xfId="60" applyFont="1" applyFill="1" applyBorder="1" applyAlignment="1">
      <alignment vertical="center"/>
      <protection/>
    </xf>
    <xf numFmtId="0" fontId="15" fillId="35" borderId="0" xfId="60" applyFont="1" applyFill="1" applyBorder="1" applyAlignment="1">
      <alignment vertical="center"/>
      <protection/>
    </xf>
    <xf numFmtId="3" fontId="14" fillId="35" borderId="0" xfId="60" applyNumberFormat="1" applyFont="1" applyFill="1" applyBorder="1" applyAlignment="1">
      <alignment horizontal="center" vertical="center"/>
      <protection/>
    </xf>
    <xf numFmtId="0" fontId="16" fillId="35" borderId="0" xfId="60" applyFont="1" applyFill="1" applyBorder="1" applyAlignment="1">
      <alignment vertical="center"/>
      <protection/>
    </xf>
    <xf numFmtId="10" fontId="14" fillId="35" borderId="0" xfId="60" applyNumberFormat="1" applyFont="1" applyFill="1" applyBorder="1" applyAlignment="1">
      <alignment horizontal="center" vertical="center"/>
      <protection/>
    </xf>
    <xf numFmtId="0" fontId="14" fillId="35" borderId="29" xfId="60" applyFont="1" applyFill="1" applyBorder="1" applyAlignment="1">
      <alignment vertical="center"/>
      <protection/>
    </xf>
    <xf numFmtId="0" fontId="14" fillId="35" borderId="18" xfId="60" applyFont="1" applyFill="1" applyBorder="1" applyAlignment="1">
      <alignment vertical="center"/>
      <protection/>
    </xf>
    <xf numFmtId="3" fontId="12" fillId="35" borderId="16" xfId="60" applyNumberFormat="1" applyFont="1" applyFill="1" applyBorder="1" applyAlignment="1">
      <alignment vertical="center"/>
      <protection/>
    </xf>
    <xf numFmtId="0" fontId="14" fillId="35" borderId="30" xfId="60" applyFont="1" applyFill="1" applyBorder="1" applyAlignment="1">
      <alignment vertical="center"/>
      <protection/>
    </xf>
    <xf numFmtId="0" fontId="14" fillId="35" borderId="10" xfId="60" applyFont="1" applyFill="1" applyBorder="1" applyAlignment="1">
      <alignment vertical="center" wrapText="1"/>
      <protection/>
    </xf>
    <xf numFmtId="3" fontId="12" fillId="35" borderId="10" xfId="60" applyNumberFormat="1" applyFont="1" applyFill="1" applyBorder="1" applyAlignment="1">
      <alignment vertical="center"/>
      <protection/>
    </xf>
    <xf numFmtId="3" fontId="12" fillId="35" borderId="10" xfId="60" applyNumberFormat="1" applyFont="1" applyFill="1" applyBorder="1" applyAlignment="1">
      <alignment horizontal="center" vertical="center"/>
      <protection/>
    </xf>
    <xf numFmtId="0" fontId="14" fillId="35" borderId="31" xfId="60" applyFont="1" applyFill="1" applyBorder="1" applyAlignment="1">
      <alignment vertical="center"/>
      <protection/>
    </xf>
    <xf numFmtId="0" fontId="14" fillId="35" borderId="23" xfId="60" applyFont="1" applyFill="1" applyBorder="1" applyAlignment="1">
      <alignment vertical="center" wrapText="1"/>
      <protection/>
    </xf>
    <xf numFmtId="3" fontId="12" fillId="35" borderId="23" xfId="60" applyNumberFormat="1" applyFont="1" applyFill="1" applyBorder="1" applyAlignment="1">
      <alignment vertical="center"/>
      <protection/>
    </xf>
    <xf numFmtId="0" fontId="17" fillId="35" borderId="32" xfId="60" applyFont="1" applyFill="1" applyBorder="1" applyAlignment="1">
      <alignment vertical="center"/>
      <protection/>
    </xf>
    <xf numFmtId="0" fontId="17" fillId="35" borderId="27" xfId="60" applyFont="1" applyFill="1" applyBorder="1" applyAlignment="1">
      <alignment vertical="center" wrapText="1"/>
      <protection/>
    </xf>
    <xf numFmtId="3" fontId="16" fillId="35" borderId="27" xfId="60" applyNumberFormat="1" applyFont="1" applyFill="1" applyBorder="1" applyAlignment="1">
      <alignment horizontal="right" vertical="center"/>
      <protection/>
    </xf>
    <xf numFmtId="3" fontId="14" fillId="35" borderId="0" xfId="60" applyNumberFormat="1" applyFont="1" applyFill="1" applyBorder="1" applyAlignment="1">
      <alignment horizontal="right" vertical="center"/>
      <protection/>
    </xf>
    <xf numFmtId="10" fontId="14" fillId="35" borderId="0" xfId="60" applyNumberFormat="1" applyFont="1" applyFill="1" applyBorder="1" applyAlignment="1">
      <alignment horizontal="right" vertical="center"/>
      <protection/>
    </xf>
    <xf numFmtId="3" fontId="12" fillId="35" borderId="18" xfId="60" applyNumberFormat="1" applyFont="1" applyFill="1" applyBorder="1" applyAlignment="1">
      <alignment horizontal="right" vertical="center"/>
      <protection/>
    </xf>
    <xf numFmtId="0" fontId="14" fillId="35" borderId="10" xfId="60" applyFont="1" applyFill="1" applyBorder="1" applyAlignment="1">
      <alignment vertical="center"/>
      <protection/>
    </xf>
    <xf numFmtId="3" fontId="12" fillId="35" borderId="10" xfId="60" applyNumberFormat="1" applyFont="1" applyFill="1" applyBorder="1" applyAlignment="1">
      <alignment horizontal="right" vertical="center"/>
      <protection/>
    </xf>
    <xf numFmtId="0" fontId="14" fillId="35" borderId="23" xfId="60" applyFont="1" applyFill="1" applyBorder="1" applyAlignment="1">
      <alignment vertical="center"/>
      <protection/>
    </xf>
    <xf numFmtId="3" fontId="12" fillId="35" borderId="23" xfId="60" applyNumberFormat="1" applyFont="1" applyFill="1" applyBorder="1" applyAlignment="1">
      <alignment horizontal="right" vertical="center"/>
      <protection/>
    </xf>
    <xf numFmtId="0" fontId="14" fillId="35" borderId="33" xfId="60" applyFont="1" applyFill="1" applyBorder="1" applyAlignment="1">
      <alignment vertical="center"/>
      <protection/>
    </xf>
    <xf numFmtId="0" fontId="14" fillId="35" borderId="34" xfId="60" applyFont="1" applyFill="1" applyBorder="1" applyAlignment="1">
      <alignment vertical="center"/>
      <protection/>
    </xf>
    <xf numFmtId="0" fontId="14" fillId="35" borderId="26" xfId="60" applyFont="1" applyFill="1" applyBorder="1" applyAlignment="1">
      <alignment vertical="center"/>
      <protection/>
    </xf>
    <xf numFmtId="0" fontId="14" fillId="35" borderId="15" xfId="60" applyFont="1" applyFill="1" applyBorder="1" applyAlignment="1">
      <alignment vertical="center"/>
      <protection/>
    </xf>
    <xf numFmtId="0" fontId="12" fillId="35" borderId="15" xfId="60" applyFont="1" applyFill="1" applyBorder="1" applyAlignment="1">
      <alignment vertical="center"/>
      <protection/>
    </xf>
    <xf numFmtId="0" fontId="12" fillId="35" borderId="35" xfId="60" applyFont="1" applyFill="1" applyBorder="1" applyAlignment="1">
      <alignment vertical="center"/>
      <protection/>
    </xf>
    <xf numFmtId="3" fontId="12" fillId="35" borderId="14" xfId="60" applyNumberFormat="1" applyFont="1" applyFill="1" applyBorder="1" applyAlignment="1">
      <alignment horizontal="right" vertical="center"/>
      <protection/>
    </xf>
    <xf numFmtId="0" fontId="14" fillId="35" borderId="36" xfId="60" applyFont="1" applyFill="1" applyBorder="1" applyAlignment="1">
      <alignment vertical="center"/>
      <protection/>
    </xf>
    <xf numFmtId="0" fontId="14" fillId="35" borderId="19" xfId="60" applyFont="1" applyFill="1" applyBorder="1" applyAlignment="1">
      <alignment vertical="center"/>
      <protection/>
    </xf>
    <xf numFmtId="0" fontId="14" fillId="35" borderId="37" xfId="60" applyFont="1" applyFill="1" applyBorder="1" applyAlignment="1">
      <alignment vertical="center"/>
      <protection/>
    </xf>
    <xf numFmtId="3" fontId="12" fillId="35" borderId="13" xfId="60" applyNumberFormat="1" applyFont="1" applyFill="1" applyBorder="1" applyAlignment="1">
      <alignment horizontal="right" vertical="center"/>
      <protection/>
    </xf>
    <xf numFmtId="0" fontId="14" fillId="35" borderId="38" xfId="60" applyFont="1" applyFill="1" applyBorder="1" applyAlignment="1">
      <alignment vertical="center"/>
      <protection/>
    </xf>
    <xf numFmtId="0" fontId="14" fillId="35" borderId="39" xfId="60" applyFont="1" applyFill="1" applyBorder="1" applyAlignment="1">
      <alignment vertical="center"/>
      <protection/>
    </xf>
    <xf numFmtId="3" fontId="12" fillId="35" borderId="39" xfId="60" applyNumberFormat="1" applyFont="1" applyFill="1" applyBorder="1" applyAlignment="1">
      <alignment horizontal="right" vertical="center"/>
      <protection/>
    </xf>
    <xf numFmtId="0" fontId="14" fillId="35" borderId="40" xfId="60" applyFont="1" applyFill="1" applyBorder="1" applyAlignment="1">
      <alignment vertical="center"/>
      <protection/>
    </xf>
    <xf numFmtId="0" fontId="14" fillId="35" borderId="41" xfId="60" applyFont="1" applyFill="1" applyBorder="1" applyAlignment="1">
      <alignment vertical="center"/>
      <protection/>
    </xf>
    <xf numFmtId="0" fontId="14" fillId="35" borderId="42" xfId="60" applyFont="1" applyFill="1" applyBorder="1" applyAlignment="1">
      <alignment vertical="center"/>
      <protection/>
    </xf>
    <xf numFmtId="0" fontId="14" fillId="35" borderId="43" xfId="60" applyFont="1" applyFill="1" applyBorder="1" applyAlignment="1">
      <alignment vertical="center"/>
      <protection/>
    </xf>
    <xf numFmtId="0" fontId="14" fillId="35" borderId="24" xfId="60" applyFont="1" applyFill="1" applyBorder="1" applyAlignment="1">
      <alignment vertical="center"/>
      <protection/>
    </xf>
    <xf numFmtId="0" fontId="14" fillId="35" borderId="44" xfId="60" applyFont="1" applyFill="1" applyBorder="1" applyAlignment="1">
      <alignment vertical="center"/>
      <protection/>
    </xf>
    <xf numFmtId="3" fontId="12" fillId="35" borderId="11" xfId="60" applyNumberFormat="1" applyFont="1" applyFill="1" applyBorder="1" applyAlignment="1">
      <alignment horizontal="right" vertical="center"/>
      <protection/>
    </xf>
    <xf numFmtId="0" fontId="14" fillId="35" borderId="45" xfId="60" applyFont="1" applyFill="1" applyBorder="1" applyAlignment="1">
      <alignment vertical="center"/>
      <protection/>
    </xf>
    <xf numFmtId="0" fontId="14" fillId="35" borderId="35" xfId="60" applyFont="1" applyFill="1" applyBorder="1" applyAlignment="1">
      <alignment vertical="center"/>
      <protection/>
    </xf>
    <xf numFmtId="3" fontId="12" fillId="35" borderId="14" xfId="47" applyNumberFormat="1" applyFont="1" applyFill="1" applyBorder="1" applyAlignment="1">
      <alignment horizontal="right" vertical="center"/>
      <protection/>
    </xf>
    <xf numFmtId="0" fontId="14" fillId="35" borderId="46" xfId="60" applyFont="1" applyFill="1" applyBorder="1" applyAlignment="1">
      <alignment vertical="center"/>
      <protection/>
    </xf>
    <xf numFmtId="0" fontId="14" fillId="35" borderId="47" xfId="60" applyFont="1" applyFill="1" applyBorder="1" applyAlignment="1">
      <alignment vertical="center"/>
      <protection/>
    </xf>
    <xf numFmtId="0" fontId="14" fillId="35" borderId="48" xfId="60" applyFont="1" applyFill="1" applyBorder="1" applyAlignment="1">
      <alignment vertical="center"/>
      <protection/>
    </xf>
    <xf numFmtId="0" fontId="14" fillId="35" borderId="21" xfId="60" applyFont="1" applyFill="1" applyBorder="1" applyAlignment="1">
      <alignment vertical="center"/>
      <protection/>
    </xf>
    <xf numFmtId="0" fontId="14" fillId="35" borderId="49" xfId="60" applyFont="1" applyFill="1" applyBorder="1" applyAlignment="1">
      <alignment vertical="center"/>
      <protection/>
    </xf>
    <xf numFmtId="0" fontId="14" fillId="35" borderId="50" xfId="60" applyFont="1" applyFill="1" applyBorder="1" applyAlignment="1">
      <alignment vertical="center"/>
      <protection/>
    </xf>
    <xf numFmtId="0" fontId="14" fillId="35" borderId="51" xfId="60" applyFont="1" applyFill="1" applyBorder="1" applyAlignment="1">
      <alignment vertical="center"/>
      <protection/>
    </xf>
    <xf numFmtId="3" fontId="12" fillId="35" borderId="27" xfId="60" applyNumberFormat="1" applyFont="1" applyFill="1" applyBorder="1" applyAlignment="1">
      <alignment horizontal="right" vertical="center"/>
      <protection/>
    </xf>
    <xf numFmtId="0" fontId="12" fillId="35" borderId="46" xfId="60" applyFont="1" applyFill="1" applyBorder="1" applyAlignment="1">
      <alignment vertical="center"/>
      <protection/>
    </xf>
    <xf numFmtId="0" fontId="12" fillId="35" borderId="37" xfId="60" applyFont="1" applyFill="1" applyBorder="1" applyAlignment="1">
      <alignment vertical="center"/>
      <protection/>
    </xf>
    <xf numFmtId="3" fontId="12" fillId="35" borderId="46" xfId="60" applyNumberFormat="1" applyFont="1" applyFill="1" applyBorder="1" applyAlignment="1">
      <alignment horizontal="right" vertical="center"/>
      <protection/>
    </xf>
    <xf numFmtId="3" fontId="12" fillId="35" borderId="16" xfId="60" applyNumberFormat="1" applyFont="1" applyFill="1" applyBorder="1" applyAlignment="1">
      <alignment horizontal="right" vertical="center"/>
      <protection/>
    </xf>
    <xf numFmtId="0" fontId="17" fillId="35" borderId="26" xfId="60" applyFont="1" applyFill="1" applyBorder="1" applyAlignment="1">
      <alignment vertical="center"/>
      <protection/>
    </xf>
    <xf numFmtId="0" fontId="17" fillId="35" borderId="15" xfId="60" applyFont="1" applyFill="1" applyBorder="1" applyAlignment="1">
      <alignment vertical="center" wrapText="1"/>
      <protection/>
    </xf>
    <xf numFmtId="0" fontId="16" fillId="35" borderId="15" xfId="60" applyFont="1" applyFill="1" applyBorder="1" applyAlignment="1">
      <alignment vertical="center"/>
      <protection/>
    </xf>
    <xf numFmtId="0" fontId="16" fillId="35" borderId="35" xfId="60" applyFont="1" applyFill="1" applyBorder="1" applyAlignment="1">
      <alignment vertical="center" wrapText="1"/>
      <protection/>
    </xf>
    <xf numFmtId="3" fontId="16" fillId="35" borderId="14" xfId="60" applyNumberFormat="1" applyFont="1" applyFill="1" applyBorder="1" applyAlignment="1">
      <alignment horizontal="right" vertical="center"/>
      <protection/>
    </xf>
    <xf numFmtId="0" fontId="12" fillId="35" borderId="0" xfId="60" applyFont="1" applyFill="1" applyBorder="1" applyAlignment="1">
      <alignment horizontal="right" vertical="center"/>
      <protection/>
    </xf>
    <xf numFmtId="0" fontId="18" fillId="35" borderId="0" xfId="60" applyFont="1" applyFill="1" applyBorder="1" applyAlignment="1">
      <alignment vertical="center"/>
      <protection/>
    </xf>
    <xf numFmtId="3" fontId="17" fillId="35" borderId="29" xfId="60" applyNumberFormat="1" applyFont="1" applyFill="1" applyBorder="1" applyAlignment="1">
      <alignment vertical="center"/>
      <protection/>
    </xf>
    <xf numFmtId="3" fontId="17" fillId="35" borderId="18" xfId="60" applyNumberFormat="1" applyFont="1" applyFill="1" applyBorder="1" applyAlignment="1">
      <alignment vertical="center"/>
      <protection/>
    </xf>
    <xf numFmtId="0" fontId="13" fillId="35" borderId="19" xfId="60" applyFont="1" applyFill="1" applyBorder="1" applyAlignment="1">
      <alignment vertical="center"/>
      <protection/>
    </xf>
    <xf numFmtId="3" fontId="20" fillId="35" borderId="47" xfId="60" applyNumberFormat="1" applyFont="1" applyFill="1" applyBorder="1" applyAlignment="1">
      <alignment vertical="center"/>
      <protection/>
    </xf>
    <xf numFmtId="0" fontId="20" fillId="35" borderId="47" xfId="60" applyFont="1" applyFill="1" applyBorder="1" applyAlignment="1">
      <alignment vertical="center"/>
      <protection/>
    </xf>
    <xf numFmtId="3" fontId="13" fillId="35" borderId="18" xfId="60" applyNumberFormat="1" applyFont="1" applyFill="1" applyBorder="1" applyAlignment="1">
      <alignment horizontal="right" vertical="center"/>
      <protection/>
    </xf>
    <xf numFmtId="0" fontId="16" fillId="35" borderId="30" xfId="60" applyFont="1" applyFill="1" applyBorder="1" applyAlignment="1">
      <alignment vertical="center"/>
      <protection/>
    </xf>
    <xf numFmtId="0" fontId="16" fillId="35" borderId="10" xfId="60" applyFont="1" applyFill="1" applyBorder="1" applyAlignment="1">
      <alignment vertical="center"/>
      <protection/>
    </xf>
    <xf numFmtId="0" fontId="20" fillId="35" borderId="36" xfId="60" applyFont="1" applyFill="1" applyBorder="1" applyAlignment="1">
      <alignment vertical="center"/>
      <protection/>
    </xf>
    <xf numFmtId="0" fontId="13" fillId="35" borderId="39" xfId="60" applyFont="1" applyFill="1" applyBorder="1" applyAlignment="1">
      <alignment vertical="center"/>
      <protection/>
    </xf>
    <xf numFmtId="3" fontId="13" fillId="35" borderId="10" xfId="60" applyNumberFormat="1" applyFont="1" applyFill="1" applyBorder="1" applyAlignment="1">
      <alignment horizontal="right" vertical="center"/>
      <protection/>
    </xf>
    <xf numFmtId="3" fontId="20" fillId="35" borderId="10" xfId="60" applyNumberFormat="1" applyFont="1" applyFill="1" applyBorder="1" applyAlignment="1">
      <alignment horizontal="right" vertical="center"/>
      <protection/>
    </xf>
    <xf numFmtId="0" fontId="13" fillId="35" borderId="30" xfId="60" applyFont="1" applyFill="1" applyBorder="1" applyAlignment="1">
      <alignment vertical="center"/>
      <protection/>
    </xf>
    <xf numFmtId="0" fontId="13" fillId="35" borderId="10" xfId="60" applyFont="1" applyFill="1" applyBorder="1" applyAlignment="1">
      <alignment vertical="center"/>
      <protection/>
    </xf>
    <xf numFmtId="0" fontId="13" fillId="35" borderId="31" xfId="60" applyFont="1" applyFill="1" applyBorder="1" applyAlignment="1">
      <alignment vertical="center"/>
      <protection/>
    </xf>
    <xf numFmtId="0" fontId="13" fillId="35" borderId="23" xfId="60" applyFont="1" applyFill="1" applyBorder="1" applyAlignment="1">
      <alignment vertical="center"/>
      <protection/>
    </xf>
    <xf numFmtId="3" fontId="13" fillId="35" borderId="23" xfId="60" applyNumberFormat="1" applyFont="1" applyFill="1" applyBorder="1" applyAlignment="1">
      <alignment horizontal="right" vertical="center"/>
      <protection/>
    </xf>
    <xf numFmtId="3" fontId="20" fillId="35" borderId="23" xfId="60" applyNumberFormat="1" applyFont="1" applyFill="1" applyBorder="1" applyAlignment="1">
      <alignment horizontal="right" vertical="center"/>
      <protection/>
    </xf>
    <xf numFmtId="0" fontId="11" fillId="0" borderId="0" xfId="60" applyFont="1" applyFill="1" applyBorder="1" applyAlignment="1">
      <alignment vertical="center"/>
      <protection/>
    </xf>
    <xf numFmtId="191" fontId="11" fillId="0" borderId="0" xfId="60" applyNumberFormat="1" applyFont="1" applyFill="1" applyBorder="1" applyAlignment="1">
      <alignment vertical="center"/>
      <protection/>
    </xf>
    <xf numFmtId="3" fontId="11" fillId="0" borderId="0" xfId="60" applyNumberFormat="1" applyFont="1" applyFill="1" applyBorder="1" applyAlignment="1">
      <alignment vertical="center"/>
      <protection/>
    </xf>
    <xf numFmtId="191" fontId="12" fillId="0" borderId="0" xfId="60" applyNumberFormat="1" applyFont="1" applyFill="1" applyBorder="1" applyAlignment="1">
      <alignment vertical="center"/>
      <protection/>
    </xf>
    <xf numFmtId="3" fontId="11" fillId="0" borderId="0" xfId="60" applyNumberFormat="1" applyFont="1" applyFill="1" applyBorder="1" applyAlignment="1">
      <alignment horizontal="right" vertical="center"/>
      <protection/>
    </xf>
    <xf numFmtId="0" fontId="12" fillId="0" borderId="0" xfId="47" applyFont="1" applyFill="1" applyAlignment="1">
      <alignment vertical="center"/>
      <protection/>
    </xf>
    <xf numFmtId="191" fontId="11" fillId="0" borderId="0" xfId="60" applyNumberFormat="1" applyFont="1" applyFill="1" applyBorder="1" applyAlignment="1">
      <alignment horizontal="right" vertical="center"/>
      <protection/>
    </xf>
    <xf numFmtId="0" fontId="0" fillId="0" borderId="0" xfId="47" applyFont="1" applyFill="1" applyAlignment="1">
      <alignment vertical="center"/>
      <protection/>
    </xf>
    <xf numFmtId="0" fontId="25" fillId="0" borderId="0" xfId="47" applyFont="1" applyFill="1" applyAlignment="1">
      <alignment vertical="center"/>
      <protection/>
    </xf>
    <xf numFmtId="191" fontId="0" fillId="0" borderId="0" xfId="47" applyNumberFormat="1" applyFont="1" applyFill="1" applyAlignment="1">
      <alignment horizontal="right" vertical="center"/>
      <protection/>
    </xf>
    <xf numFmtId="191" fontId="0" fillId="0" borderId="0" xfId="47" applyNumberFormat="1" applyFont="1" applyFill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191" fontId="12" fillId="0" borderId="0" xfId="60" applyNumberFormat="1" applyFont="1" applyFill="1" applyAlignment="1">
      <alignment horizontal="right" vertical="center"/>
      <protection/>
    </xf>
    <xf numFmtId="191" fontId="12" fillId="0" borderId="0" xfId="60" applyNumberFormat="1" applyFont="1" applyFill="1" applyAlignment="1">
      <alignment vertical="center"/>
      <protection/>
    </xf>
    <xf numFmtId="0" fontId="25" fillId="0" borderId="0" xfId="60" applyFont="1" applyFill="1" applyAlignment="1">
      <alignment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3" fontId="91" fillId="0" borderId="0" xfId="0" applyNumberFormat="1" applyFont="1" applyAlignment="1">
      <alignment vertical="center"/>
    </xf>
    <xf numFmtId="0" fontId="91" fillId="0" borderId="0" xfId="0" applyFont="1" applyAlignment="1">
      <alignment horizontal="right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3" fontId="91" fillId="0" borderId="14" xfId="0" applyNumberFormat="1" applyFont="1" applyBorder="1" applyAlignment="1">
      <alignment horizontal="center" vertical="center" wrapText="1"/>
    </xf>
    <xf numFmtId="3" fontId="91" fillId="0" borderId="52" xfId="0" applyNumberFormat="1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0" fillId="0" borderId="18" xfId="47" applyFont="1" applyFill="1" applyBorder="1" applyAlignment="1">
      <alignment vertical="center"/>
      <protection/>
    </xf>
    <xf numFmtId="3" fontId="91" fillId="0" borderId="18" xfId="0" applyNumberFormat="1" applyFont="1" applyBorder="1" applyAlignment="1">
      <alignment vertical="center"/>
    </xf>
    <xf numFmtId="3" fontId="91" fillId="0" borderId="20" xfId="0" applyNumberFormat="1" applyFont="1" applyBorder="1" applyAlignment="1">
      <alignment vertical="center"/>
    </xf>
    <xf numFmtId="0" fontId="91" fillId="0" borderId="30" xfId="0" applyFont="1" applyBorder="1" applyAlignment="1">
      <alignment horizontal="center" vertical="center" wrapText="1"/>
    </xf>
    <xf numFmtId="0" fontId="0" fillId="0" borderId="10" xfId="47" applyFont="1" applyFill="1" applyBorder="1" applyAlignment="1">
      <alignment vertical="center"/>
      <protection/>
    </xf>
    <xf numFmtId="3" fontId="91" fillId="0" borderId="10" xfId="0" applyNumberFormat="1" applyFont="1" applyBorder="1" applyAlignment="1">
      <alignment vertical="center"/>
    </xf>
    <xf numFmtId="3" fontId="91" fillId="0" borderId="22" xfId="0" applyNumberFormat="1" applyFont="1" applyBorder="1" applyAlignment="1">
      <alignment vertical="center"/>
    </xf>
    <xf numFmtId="0" fontId="91" fillId="0" borderId="31" xfId="0" applyFont="1" applyBorder="1" applyAlignment="1">
      <alignment horizontal="center" vertical="center" wrapText="1"/>
    </xf>
    <xf numFmtId="0" fontId="0" fillId="0" borderId="23" xfId="47" applyFont="1" applyFill="1" applyBorder="1" applyAlignment="1">
      <alignment vertical="center"/>
      <protection/>
    </xf>
    <xf numFmtId="3" fontId="91" fillId="0" borderId="23" xfId="0" applyNumberFormat="1" applyFont="1" applyBorder="1" applyAlignment="1">
      <alignment vertical="center"/>
    </xf>
    <xf numFmtId="3" fontId="91" fillId="0" borderId="25" xfId="0" applyNumberFormat="1" applyFont="1" applyBorder="1" applyAlignment="1">
      <alignment vertical="center"/>
    </xf>
    <xf numFmtId="3" fontId="28" fillId="0" borderId="14" xfId="0" applyNumberFormat="1" applyFont="1" applyBorder="1" applyAlignment="1">
      <alignment vertical="center"/>
    </xf>
    <xf numFmtId="3" fontId="28" fillId="0" borderId="52" xfId="0" applyNumberFormat="1" applyFont="1" applyBorder="1" applyAlignment="1">
      <alignment vertical="center"/>
    </xf>
    <xf numFmtId="0" fontId="30" fillId="0" borderId="0" xfId="47" applyFont="1" applyFill="1" applyBorder="1" applyAlignment="1">
      <alignment vertical="center"/>
      <protection/>
    </xf>
    <xf numFmtId="0" fontId="31" fillId="0" borderId="0" xfId="47" applyFont="1" applyFill="1" applyBorder="1" applyAlignment="1">
      <alignment vertical="center"/>
      <protection/>
    </xf>
    <xf numFmtId="176" fontId="13" fillId="0" borderId="0" xfId="47" applyNumberFormat="1" applyFont="1" applyFill="1" applyBorder="1" applyAlignment="1">
      <alignment horizontal="center" vertical="center" wrapText="1"/>
      <protection/>
    </xf>
    <xf numFmtId="0" fontId="0" fillId="0" borderId="0" xfId="47">
      <alignment/>
      <protection/>
    </xf>
    <xf numFmtId="0" fontId="0" fillId="0" borderId="0" xfId="47" applyFill="1" applyAlignment="1">
      <alignment vertical="center"/>
      <protection/>
    </xf>
    <xf numFmtId="176" fontId="32" fillId="0" borderId="0" xfId="47" applyNumberFormat="1" applyFont="1" applyAlignment="1">
      <alignment horizontal="right" vertical="center"/>
      <protection/>
    </xf>
    <xf numFmtId="0" fontId="32" fillId="0" borderId="0" xfId="47" applyFont="1" applyFill="1" applyBorder="1" applyAlignment="1">
      <alignment vertical="center"/>
      <protection/>
    </xf>
    <xf numFmtId="176" fontId="0" fillId="0" borderId="0" xfId="47" applyNumberFormat="1" applyAlignment="1">
      <alignment horizontal="center" vertical="center"/>
      <protection/>
    </xf>
    <xf numFmtId="0" fontId="0" fillId="0" borderId="0" xfId="47" applyAlignment="1">
      <alignment vertical="center"/>
      <protection/>
    </xf>
    <xf numFmtId="3" fontId="0" fillId="0" borderId="0" xfId="47" applyNumberFormat="1" applyAlignment="1">
      <alignment vertical="center"/>
      <protection/>
    </xf>
    <xf numFmtId="0" fontId="0" fillId="0" borderId="0" xfId="47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1" fontId="28" fillId="0" borderId="0" xfId="47" applyNumberFormat="1" applyFont="1" applyAlignment="1">
      <alignment horizontal="center" vertical="center"/>
      <protection/>
    </xf>
    <xf numFmtId="176" fontId="32" fillId="0" borderId="0" xfId="47" applyNumberFormat="1" applyFont="1" applyAlignment="1">
      <alignment vertical="center" wrapText="1"/>
      <protection/>
    </xf>
    <xf numFmtId="176" fontId="0" fillId="0" borderId="0" xfId="47" applyNumberFormat="1">
      <alignment/>
      <protection/>
    </xf>
    <xf numFmtId="0" fontId="28" fillId="0" borderId="53" xfId="47" applyFont="1" applyFill="1" applyBorder="1" applyAlignment="1">
      <alignment horizontal="center" vertical="center" wrapText="1"/>
      <protection/>
    </xf>
    <xf numFmtId="176" fontId="28" fillId="0" borderId="54" xfId="47" applyNumberFormat="1" applyFont="1" applyFill="1" applyBorder="1" applyAlignment="1">
      <alignment horizontal="center" vertical="center" wrapText="1"/>
      <protection/>
    </xf>
    <xf numFmtId="176" fontId="0" fillId="0" borderId="55" xfId="47" applyNumberFormat="1" applyFill="1" applyBorder="1" applyAlignment="1">
      <alignment horizontal="center" vertical="center" wrapText="1"/>
      <protection/>
    </xf>
    <xf numFmtId="0" fontId="0" fillId="0" borderId="56" xfId="47" applyFill="1" applyBorder="1" applyAlignment="1">
      <alignment horizontal="center" vertical="center" wrapText="1"/>
      <protection/>
    </xf>
    <xf numFmtId="0" fontId="0" fillId="0" borderId="57" xfId="47" applyFill="1" applyBorder="1" applyAlignment="1">
      <alignment horizontal="center" vertical="center" wrapText="1"/>
      <protection/>
    </xf>
    <xf numFmtId="0" fontId="0" fillId="0" borderId="53" xfId="47" applyFill="1" applyBorder="1" applyAlignment="1">
      <alignment horizontal="center" vertical="center" wrapText="1"/>
      <protection/>
    </xf>
    <xf numFmtId="0" fontId="0" fillId="0" borderId="58" xfId="47" applyFill="1" applyBorder="1" applyAlignment="1">
      <alignment horizontal="center" vertical="center" wrapText="1"/>
      <protection/>
    </xf>
    <xf numFmtId="176" fontId="28" fillId="0" borderId="53" xfId="47" applyNumberFormat="1" applyFont="1" applyFill="1" applyBorder="1" applyAlignment="1">
      <alignment horizontal="center" vertical="center" wrapText="1"/>
      <protection/>
    </xf>
    <xf numFmtId="3" fontId="0" fillId="0" borderId="53" xfId="47" applyNumberFormat="1" applyFill="1" applyBorder="1" applyAlignment="1">
      <alignment horizontal="center" vertical="center" wrapText="1"/>
      <protection/>
    </xf>
    <xf numFmtId="0" fontId="0" fillId="0" borderId="59" xfId="47" applyFill="1" applyBorder="1" applyAlignment="1">
      <alignment horizontal="center" vertical="center" wrapText="1"/>
      <protection/>
    </xf>
    <xf numFmtId="176" fontId="28" fillId="0" borderId="57" xfId="47" applyNumberFormat="1" applyFont="1" applyFill="1" applyBorder="1" applyAlignment="1">
      <alignment horizontal="center" vertical="center" wrapText="1"/>
      <protection/>
    </xf>
    <xf numFmtId="0" fontId="0" fillId="0" borderId="60" xfId="47" applyFill="1" applyBorder="1" applyAlignment="1">
      <alignment horizontal="center" vertical="center" wrapText="1"/>
      <protection/>
    </xf>
    <xf numFmtId="0" fontId="0" fillId="0" borderId="61" xfId="47" applyFill="1" applyBorder="1" applyAlignment="1">
      <alignment horizontal="center" vertical="center" wrapText="1"/>
      <protection/>
    </xf>
    <xf numFmtId="0" fontId="0" fillId="0" borderId="0" xfId="47" applyFill="1" applyAlignment="1">
      <alignment horizontal="center" vertical="center"/>
      <protection/>
    </xf>
    <xf numFmtId="0" fontId="0" fillId="0" borderId="10" xfId="47" applyBorder="1" applyAlignment="1">
      <alignment horizontal="center" vertical="center"/>
      <protection/>
    </xf>
    <xf numFmtId="0" fontId="0" fillId="0" borderId="36" xfId="47" applyBorder="1" applyAlignment="1">
      <alignment horizontal="center" vertical="center"/>
      <protection/>
    </xf>
    <xf numFmtId="176" fontId="0" fillId="0" borderId="62" xfId="47" applyNumberFormat="1" applyBorder="1" applyAlignment="1">
      <alignment horizontal="center" vertical="center"/>
      <protection/>
    </xf>
    <xf numFmtId="0" fontId="0" fillId="0" borderId="63" xfId="47" applyBorder="1" applyAlignment="1">
      <alignment horizontal="center" vertical="center"/>
      <protection/>
    </xf>
    <xf numFmtId="0" fontId="0" fillId="0" borderId="64" xfId="47" applyBorder="1" applyAlignment="1">
      <alignment horizontal="center" vertical="center"/>
      <protection/>
    </xf>
    <xf numFmtId="0" fontId="0" fillId="0" borderId="65" xfId="47" applyBorder="1" applyAlignment="1">
      <alignment horizontal="center" vertical="center"/>
      <protection/>
    </xf>
    <xf numFmtId="3" fontId="0" fillId="0" borderId="10" xfId="47" applyNumberFormat="1" applyBorder="1" applyAlignment="1">
      <alignment horizontal="center" vertical="center"/>
      <protection/>
    </xf>
    <xf numFmtId="0" fontId="0" fillId="0" borderId="39" xfId="47" applyBorder="1" applyAlignment="1">
      <alignment horizontal="center" vertical="center"/>
      <protection/>
    </xf>
    <xf numFmtId="0" fontId="0" fillId="0" borderId="66" xfId="47" applyBorder="1" applyAlignment="1">
      <alignment horizontal="center" vertical="center"/>
      <protection/>
    </xf>
    <xf numFmtId="0" fontId="0" fillId="0" borderId="67" xfId="47" applyBorder="1" applyAlignment="1">
      <alignment horizontal="center" vertical="center"/>
      <protection/>
    </xf>
    <xf numFmtId="0" fontId="0" fillId="0" borderId="10" xfId="47" applyBorder="1">
      <alignment/>
      <protection/>
    </xf>
    <xf numFmtId="0" fontId="0" fillId="0" borderId="36" xfId="47" applyBorder="1">
      <alignment/>
      <protection/>
    </xf>
    <xf numFmtId="176" fontId="0" fillId="0" borderId="62" xfId="47" applyNumberFormat="1" applyBorder="1" applyAlignment="1">
      <alignment horizontal="center"/>
      <protection/>
    </xf>
    <xf numFmtId="0" fontId="0" fillId="0" borderId="63" xfId="47" applyBorder="1">
      <alignment/>
      <protection/>
    </xf>
    <xf numFmtId="0" fontId="0" fillId="0" borderId="64" xfId="47" applyBorder="1">
      <alignment/>
      <protection/>
    </xf>
    <xf numFmtId="0" fontId="0" fillId="0" borderId="65" xfId="47" applyBorder="1">
      <alignment/>
      <protection/>
    </xf>
    <xf numFmtId="3" fontId="0" fillId="0" borderId="10" xfId="47" applyNumberFormat="1" applyBorder="1">
      <alignment/>
      <protection/>
    </xf>
    <xf numFmtId="0" fontId="0" fillId="0" borderId="39" xfId="47" applyBorder="1">
      <alignment/>
      <protection/>
    </xf>
    <xf numFmtId="0" fontId="0" fillId="0" borderId="66" xfId="47" applyBorder="1">
      <alignment/>
      <protection/>
    </xf>
    <xf numFmtId="0" fontId="0" fillId="0" borderId="67" xfId="47" applyBorder="1">
      <alignment/>
      <protection/>
    </xf>
    <xf numFmtId="0" fontId="0" fillId="0" borderId="10" xfId="47" applyFill="1" applyBorder="1" applyAlignment="1">
      <alignment vertical="center"/>
      <protection/>
    </xf>
    <xf numFmtId="0" fontId="0" fillId="0" borderId="36" xfId="47" applyFill="1" applyBorder="1" applyAlignment="1">
      <alignment vertical="center"/>
      <protection/>
    </xf>
    <xf numFmtId="176" fontId="0" fillId="0" borderId="62" xfId="47" applyNumberFormat="1" applyBorder="1" applyAlignment="1">
      <alignment vertical="center"/>
      <protection/>
    </xf>
    <xf numFmtId="176" fontId="0" fillId="0" borderId="63" xfId="47" applyNumberFormat="1" applyBorder="1" applyAlignment="1">
      <alignment vertical="center"/>
      <protection/>
    </xf>
    <xf numFmtId="176" fontId="0" fillId="0" borderId="64" xfId="47" applyNumberFormat="1" applyBorder="1" applyAlignment="1">
      <alignment vertical="center"/>
      <protection/>
    </xf>
    <xf numFmtId="3" fontId="0" fillId="0" borderId="10" xfId="47" applyNumberFormat="1" applyBorder="1" applyAlignment="1">
      <alignment vertical="center"/>
      <protection/>
    </xf>
    <xf numFmtId="3" fontId="0" fillId="0" borderId="65" xfId="47" applyNumberFormat="1" applyBorder="1" applyAlignment="1">
      <alignment vertical="center"/>
      <protection/>
    </xf>
    <xf numFmtId="183" fontId="0" fillId="0" borderId="10" xfId="47" applyNumberFormat="1" applyBorder="1" applyAlignment="1">
      <alignment vertical="center"/>
      <protection/>
    </xf>
    <xf numFmtId="176" fontId="0" fillId="0" borderId="10" xfId="47" applyNumberFormat="1" applyBorder="1">
      <alignment/>
      <protection/>
    </xf>
    <xf numFmtId="176" fontId="0" fillId="0" borderId="39" xfId="47" applyNumberFormat="1" applyBorder="1">
      <alignment/>
      <protection/>
    </xf>
    <xf numFmtId="176" fontId="0" fillId="0" borderId="64" xfId="47" applyNumberFormat="1" applyBorder="1">
      <alignment/>
      <protection/>
    </xf>
    <xf numFmtId="3" fontId="0" fillId="0" borderId="66" xfId="47" applyNumberFormat="1" applyFill="1" applyBorder="1" applyAlignment="1">
      <alignment vertical="center"/>
      <protection/>
    </xf>
    <xf numFmtId="3" fontId="0" fillId="0" borderId="67" xfId="47" applyNumberFormat="1" applyFill="1" applyBorder="1" applyAlignment="1">
      <alignment vertical="center"/>
      <protection/>
    </xf>
    <xf numFmtId="3" fontId="0" fillId="0" borderId="10" xfId="47" applyNumberFormat="1" applyFill="1" applyBorder="1" applyAlignment="1">
      <alignment vertical="center"/>
      <protection/>
    </xf>
    <xf numFmtId="0" fontId="33" fillId="0" borderId="11" xfId="47" applyFont="1" applyFill="1" applyBorder="1" applyAlignment="1">
      <alignment vertical="center"/>
      <protection/>
    </xf>
    <xf numFmtId="0" fontId="0" fillId="0" borderId="43" xfId="47" applyFont="1" applyFill="1" applyBorder="1" applyAlignment="1">
      <alignment vertical="center"/>
      <protection/>
    </xf>
    <xf numFmtId="176" fontId="0" fillId="0" borderId="62" xfId="47" applyNumberFormat="1" applyFill="1" applyBorder="1" applyAlignment="1">
      <alignment vertical="center"/>
      <protection/>
    </xf>
    <xf numFmtId="176" fontId="0" fillId="0" borderId="63" xfId="47" applyNumberFormat="1" applyFill="1" applyBorder="1" applyAlignment="1">
      <alignment vertical="center"/>
      <protection/>
    </xf>
    <xf numFmtId="4" fontId="0" fillId="0" borderId="10" xfId="47" applyNumberFormat="1" applyFill="1" applyBorder="1" applyAlignment="1">
      <alignment vertical="center"/>
      <protection/>
    </xf>
    <xf numFmtId="183" fontId="0" fillId="0" borderId="10" xfId="47" applyNumberFormat="1" applyFill="1" applyBorder="1" applyAlignment="1">
      <alignment vertical="center"/>
      <protection/>
    </xf>
    <xf numFmtId="4" fontId="0" fillId="0" borderId="10" xfId="47" applyNumberFormat="1" applyBorder="1" applyAlignment="1">
      <alignment vertical="center"/>
      <protection/>
    </xf>
    <xf numFmtId="4" fontId="0" fillId="0" borderId="64" xfId="47" applyNumberFormat="1" applyBorder="1" applyAlignment="1">
      <alignment vertical="center"/>
      <protection/>
    </xf>
    <xf numFmtId="0" fontId="0" fillId="0" borderId="11" xfId="47" applyFill="1" applyBorder="1" applyAlignment="1">
      <alignment vertical="center"/>
      <protection/>
    </xf>
    <xf numFmtId="0" fontId="0" fillId="0" borderId="43" xfId="47" applyFill="1" applyBorder="1" applyAlignment="1">
      <alignment vertical="center"/>
      <protection/>
    </xf>
    <xf numFmtId="4" fontId="0" fillId="0" borderId="10" xfId="47" applyNumberFormat="1" applyBorder="1">
      <alignment/>
      <protection/>
    </xf>
    <xf numFmtId="4" fontId="0" fillId="0" borderId="64" xfId="47" applyNumberFormat="1" applyBorder="1">
      <alignment/>
      <protection/>
    </xf>
    <xf numFmtId="0" fontId="28" fillId="36" borderId="14" xfId="47" applyFont="1" applyFill="1" applyBorder="1" applyAlignment="1">
      <alignment vertical="center"/>
      <protection/>
    </xf>
    <xf numFmtId="0" fontId="28" fillId="36" borderId="15" xfId="47" applyFont="1" applyFill="1" applyBorder="1" applyAlignment="1">
      <alignment vertical="center"/>
      <protection/>
    </xf>
    <xf numFmtId="176" fontId="0" fillId="36" borderId="68" xfId="47" applyNumberFormat="1" applyFill="1" applyBorder="1" applyAlignment="1">
      <alignment/>
      <protection/>
    </xf>
    <xf numFmtId="176" fontId="0" fillId="36" borderId="69" xfId="47" applyNumberFormat="1" applyFill="1" applyBorder="1" applyAlignment="1">
      <alignment/>
      <protection/>
    </xf>
    <xf numFmtId="3" fontId="0" fillId="36" borderId="14" xfId="47" applyNumberFormat="1" applyFill="1" applyBorder="1" applyAlignment="1">
      <alignment/>
      <protection/>
    </xf>
    <xf numFmtId="3" fontId="0" fillId="36" borderId="70" xfId="47" applyNumberFormat="1" applyFill="1" applyBorder="1" applyAlignment="1">
      <alignment/>
      <protection/>
    </xf>
    <xf numFmtId="3" fontId="0" fillId="36" borderId="71" xfId="47" applyNumberFormat="1" applyFill="1" applyBorder="1" applyAlignment="1">
      <alignment/>
      <protection/>
    </xf>
    <xf numFmtId="3" fontId="0" fillId="36" borderId="72" xfId="47" applyNumberFormat="1" applyFill="1" applyBorder="1" applyAlignment="1">
      <alignment/>
      <protection/>
    </xf>
    <xf numFmtId="3" fontId="0" fillId="36" borderId="73" xfId="47" applyNumberFormat="1" applyFill="1" applyBorder="1" applyAlignment="1">
      <alignment/>
      <protection/>
    </xf>
    <xf numFmtId="3" fontId="0" fillId="36" borderId="74" xfId="47" applyNumberFormat="1" applyFill="1" applyBorder="1" applyAlignment="1">
      <alignment/>
      <protection/>
    </xf>
    <xf numFmtId="0" fontId="0" fillId="0" borderId="13" xfId="47" applyBorder="1" applyAlignment="1">
      <alignment vertical="center"/>
      <protection/>
    </xf>
    <xf numFmtId="0" fontId="0" fillId="0" borderId="10" xfId="47" applyBorder="1" applyAlignment="1">
      <alignment vertical="center"/>
      <protection/>
    </xf>
    <xf numFmtId="0" fontId="0" fillId="0" borderId="11" xfId="47" applyBorder="1" applyAlignment="1">
      <alignment vertical="center"/>
      <protection/>
    </xf>
    <xf numFmtId="3" fontId="0" fillId="0" borderId="65" xfId="47" applyNumberFormat="1" applyFill="1" applyBorder="1" applyAlignment="1">
      <alignment vertical="center"/>
      <protection/>
    </xf>
    <xf numFmtId="0" fontId="0" fillId="0" borderId="13" xfId="47" applyFill="1" applyBorder="1" applyAlignment="1">
      <alignment vertical="center"/>
      <protection/>
    </xf>
    <xf numFmtId="0" fontId="0" fillId="0" borderId="18" xfId="47" applyFill="1" applyBorder="1" applyAlignment="1">
      <alignment vertical="center"/>
      <protection/>
    </xf>
    <xf numFmtId="0" fontId="33" fillId="0" borderId="10" xfId="47" applyFont="1" applyFill="1" applyBorder="1" applyAlignment="1">
      <alignment vertical="center"/>
      <protection/>
    </xf>
    <xf numFmtId="0" fontId="0" fillId="0" borderId="13" xfId="47" applyFont="1" applyFill="1" applyBorder="1" applyAlignment="1">
      <alignment vertical="center"/>
      <protection/>
    </xf>
    <xf numFmtId="0" fontId="0" fillId="0" borderId="11" xfId="47" applyFont="1" applyFill="1" applyBorder="1" applyAlignment="1">
      <alignment vertical="center"/>
      <protection/>
    </xf>
    <xf numFmtId="176" fontId="0" fillId="36" borderId="75" xfId="47" applyNumberFormat="1" applyFill="1" applyBorder="1" applyAlignment="1">
      <alignment/>
      <protection/>
    </xf>
    <xf numFmtId="176" fontId="0" fillId="36" borderId="76" xfId="47" applyNumberFormat="1" applyFill="1" applyBorder="1" applyAlignment="1">
      <alignment/>
      <protection/>
    </xf>
    <xf numFmtId="0" fontId="28" fillId="37" borderId="77" xfId="47" applyFont="1" applyFill="1" applyBorder="1" applyAlignment="1">
      <alignment vertical="center"/>
      <protection/>
    </xf>
    <xf numFmtId="0" fontId="28" fillId="37" borderId="78" xfId="47" applyFont="1" applyFill="1" applyBorder="1" applyAlignment="1">
      <alignment vertical="center"/>
      <protection/>
    </xf>
    <xf numFmtId="176" fontId="0" fillId="37" borderId="79" xfId="47" applyNumberFormat="1" applyFill="1" applyBorder="1" applyAlignment="1">
      <alignment vertical="center"/>
      <protection/>
    </xf>
    <xf numFmtId="176" fontId="0" fillId="37" borderId="80" xfId="47" applyNumberFormat="1" applyFill="1" applyBorder="1" applyAlignment="1">
      <alignment vertical="center"/>
      <protection/>
    </xf>
    <xf numFmtId="176" fontId="0" fillId="37" borderId="81" xfId="47" applyNumberFormat="1" applyFill="1" applyBorder="1" applyAlignment="1">
      <alignment vertical="center"/>
      <protection/>
    </xf>
    <xf numFmtId="3" fontId="0" fillId="37" borderId="82" xfId="47" applyNumberFormat="1" applyFill="1" applyBorder="1" applyAlignment="1">
      <alignment vertical="center"/>
      <protection/>
    </xf>
    <xf numFmtId="3" fontId="0" fillId="37" borderId="83" xfId="47" applyNumberFormat="1" applyFill="1" applyBorder="1" applyAlignment="1">
      <alignment vertical="center"/>
      <protection/>
    </xf>
    <xf numFmtId="3" fontId="0" fillId="37" borderId="84" xfId="47" applyNumberFormat="1" applyFill="1" applyBorder="1" applyAlignment="1">
      <alignment vertical="center"/>
      <protection/>
    </xf>
    <xf numFmtId="3" fontId="0" fillId="37" borderId="85" xfId="47" applyNumberFormat="1" applyFill="1" applyBorder="1" applyAlignment="1">
      <alignment vertical="center"/>
      <protection/>
    </xf>
    <xf numFmtId="3" fontId="0" fillId="37" borderId="86" xfId="47" applyNumberFormat="1" applyFill="1" applyBorder="1" applyAlignment="1">
      <alignment vertical="center"/>
      <protection/>
    </xf>
    <xf numFmtId="3" fontId="0" fillId="37" borderId="87" xfId="47" applyNumberFormat="1" applyFill="1" applyBorder="1" applyAlignment="1">
      <alignment vertical="center"/>
      <protection/>
    </xf>
    <xf numFmtId="3" fontId="0" fillId="37" borderId="79" xfId="47" applyNumberFormat="1" applyFill="1" applyBorder="1" applyAlignment="1">
      <alignment vertical="center"/>
      <protection/>
    </xf>
    <xf numFmtId="0" fontId="28" fillId="37" borderId="88" xfId="47" applyFont="1" applyFill="1" applyBorder="1" applyAlignment="1">
      <alignment vertical="center"/>
      <protection/>
    </xf>
    <xf numFmtId="0" fontId="28" fillId="37" borderId="89" xfId="47" applyFont="1" applyFill="1" applyBorder="1" applyAlignment="1">
      <alignment vertical="center"/>
      <protection/>
    </xf>
    <xf numFmtId="176" fontId="0" fillId="37" borderId="90" xfId="47" applyNumberFormat="1" applyFill="1" applyBorder="1" applyAlignment="1">
      <alignment vertical="center"/>
      <protection/>
    </xf>
    <xf numFmtId="176" fontId="0" fillId="37" borderId="91" xfId="47" applyNumberFormat="1" applyFill="1" applyBorder="1" applyAlignment="1">
      <alignment vertical="center"/>
      <protection/>
    </xf>
    <xf numFmtId="176" fontId="0" fillId="37" borderId="92" xfId="47" applyNumberFormat="1" applyFill="1" applyBorder="1" applyAlignment="1">
      <alignment vertical="center"/>
      <protection/>
    </xf>
    <xf numFmtId="3" fontId="0" fillId="37" borderId="93" xfId="47" applyNumberFormat="1" applyFill="1" applyBorder="1" applyAlignment="1">
      <alignment vertical="center"/>
      <protection/>
    </xf>
    <xf numFmtId="3" fontId="0" fillId="37" borderId="94" xfId="47" applyNumberFormat="1" applyFill="1" applyBorder="1" applyAlignment="1">
      <alignment vertical="center"/>
      <protection/>
    </xf>
    <xf numFmtId="3" fontId="0" fillId="37" borderId="95" xfId="47" applyNumberFormat="1" applyFill="1" applyBorder="1" applyAlignment="1">
      <alignment vertical="center"/>
      <protection/>
    </xf>
    <xf numFmtId="3" fontId="0" fillId="37" borderId="96" xfId="47" applyNumberFormat="1" applyFill="1" applyBorder="1" applyAlignment="1">
      <alignment vertical="center"/>
      <protection/>
    </xf>
    <xf numFmtId="3" fontId="0" fillId="37" borderId="97" xfId="47" applyNumberFormat="1" applyFill="1" applyBorder="1" applyAlignment="1">
      <alignment vertical="center"/>
      <protection/>
    </xf>
    <xf numFmtId="3" fontId="0" fillId="37" borderId="90" xfId="47" applyNumberFormat="1" applyFill="1" applyBorder="1" applyAlignment="1">
      <alignment vertical="center"/>
      <protection/>
    </xf>
    <xf numFmtId="176" fontId="0" fillId="37" borderId="98" xfId="47" applyNumberFormat="1" applyFill="1" applyBorder="1" applyAlignment="1">
      <alignment vertical="center"/>
      <protection/>
    </xf>
    <xf numFmtId="176" fontId="0" fillId="37" borderId="99" xfId="47" applyNumberFormat="1" applyFill="1" applyBorder="1" applyAlignment="1">
      <alignment vertical="center"/>
      <protection/>
    </xf>
    <xf numFmtId="176" fontId="0" fillId="37" borderId="100" xfId="47" applyNumberFormat="1" applyFill="1" applyBorder="1" applyAlignment="1">
      <alignment vertical="center"/>
      <protection/>
    </xf>
    <xf numFmtId="3" fontId="0" fillId="37" borderId="101" xfId="47" applyNumberFormat="1" applyFill="1" applyBorder="1" applyAlignment="1">
      <alignment vertical="center"/>
      <protection/>
    </xf>
    <xf numFmtId="3" fontId="0" fillId="37" borderId="88" xfId="47" applyNumberFormat="1" applyFill="1" applyBorder="1" applyAlignment="1">
      <alignment vertical="center"/>
      <protection/>
    </xf>
    <xf numFmtId="3" fontId="0" fillId="37" borderId="89" xfId="47" applyNumberFormat="1" applyFill="1" applyBorder="1" applyAlignment="1">
      <alignment vertical="center"/>
      <protection/>
    </xf>
    <xf numFmtId="3" fontId="0" fillId="37" borderId="102" xfId="47" applyNumberFormat="1" applyFill="1" applyBorder="1" applyAlignment="1">
      <alignment vertical="center"/>
      <protection/>
    </xf>
    <xf numFmtId="3" fontId="0" fillId="37" borderId="103" xfId="47" applyNumberFormat="1" applyFill="1" applyBorder="1" applyAlignment="1">
      <alignment vertical="center"/>
      <protection/>
    </xf>
    <xf numFmtId="3" fontId="0" fillId="37" borderId="98" xfId="47" applyNumberFormat="1" applyFill="1" applyBorder="1" applyAlignment="1">
      <alignment vertical="center"/>
      <protection/>
    </xf>
    <xf numFmtId="3" fontId="0" fillId="0" borderId="0" xfId="47" applyNumberFormat="1">
      <alignment/>
      <protection/>
    </xf>
    <xf numFmtId="0" fontId="30" fillId="0" borderId="0" xfId="47" applyFont="1" applyAlignment="1">
      <alignment vertical="center"/>
      <protection/>
    </xf>
    <xf numFmtId="0" fontId="0" fillId="0" borderId="36" xfId="47" applyBorder="1" applyAlignment="1">
      <alignment vertical="center"/>
      <protection/>
    </xf>
    <xf numFmtId="0" fontId="0" fillId="0" borderId="39" xfId="47" applyBorder="1" applyAlignment="1">
      <alignment vertical="center"/>
      <protection/>
    </xf>
    <xf numFmtId="176" fontId="0" fillId="0" borderId="39" xfId="47" applyNumberFormat="1" applyBorder="1" applyAlignment="1">
      <alignment horizontal="center" vertical="center"/>
      <protection/>
    </xf>
    <xf numFmtId="0" fontId="0" fillId="0" borderId="65" xfId="47" applyBorder="1" applyAlignment="1">
      <alignment vertical="center"/>
      <protection/>
    </xf>
    <xf numFmtId="3" fontId="0" fillId="0" borderId="10" xfId="47" applyNumberFormat="1" applyFont="1" applyBorder="1" applyAlignment="1">
      <alignment vertical="center"/>
      <protection/>
    </xf>
    <xf numFmtId="0" fontId="0" fillId="0" borderId="36" xfId="47" applyFont="1" applyFill="1" applyBorder="1">
      <alignment/>
      <protection/>
    </xf>
    <xf numFmtId="0" fontId="0" fillId="0" borderId="39" xfId="47" applyFont="1" applyFill="1" applyBorder="1" applyAlignment="1">
      <alignment vertical="center"/>
      <protection/>
    </xf>
    <xf numFmtId="0" fontId="0" fillId="0" borderId="65" xfId="47" applyFont="1" applyFill="1" applyBorder="1" applyAlignment="1">
      <alignment vertical="center"/>
      <protection/>
    </xf>
    <xf numFmtId="3" fontId="0" fillId="0" borderId="10" xfId="47" applyNumberFormat="1" applyFont="1" applyFill="1" applyBorder="1">
      <alignment/>
      <protection/>
    </xf>
    <xf numFmtId="176" fontId="0" fillId="0" borderId="10" xfId="47" applyNumberFormat="1" applyFont="1" applyBorder="1" applyAlignment="1">
      <alignment vertical="center"/>
      <protection/>
    </xf>
    <xf numFmtId="0" fontId="0" fillId="0" borderId="39" xfId="47" applyFont="1" applyFill="1" applyBorder="1">
      <alignment/>
      <protection/>
    </xf>
    <xf numFmtId="0" fontId="0" fillId="0" borderId="65" xfId="47" applyFont="1" applyFill="1" applyBorder="1">
      <alignment/>
      <protection/>
    </xf>
    <xf numFmtId="3" fontId="0" fillId="0" borderId="10" xfId="47" applyNumberFormat="1" applyFont="1" applyFill="1" applyBorder="1" applyAlignment="1">
      <alignment vertical="center"/>
      <protection/>
    </xf>
    <xf numFmtId="3" fontId="0" fillId="0" borderId="36" xfId="47" applyNumberFormat="1" applyBorder="1" applyAlignment="1">
      <alignment vertical="center"/>
      <protection/>
    </xf>
    <xf numFmtId="10" fontId="0" fillId="0" borderId="10" xfId="47" applyNumberFormat="1" applyFont="1" applyBorder="1" applyAlignment="1">
      <alignment vertical="center"/>
      <protection/>
    </xf>
    <xf numFmtId="0" fontId="0" fillId="0" borderId="0" xfId="47" applyFont="1" applyFill="1" applyAlignment="1">
      <alignment horizontal="center" vertical="center"/>
      <protection/>
    </xf>
    <xf numFmtId="4" fontId="0" fillId="0" borderId="10" xfId="47" applyNumberFormat="1" applyFill="1" applyBorder="1">
      <alignment/>
      <protection/>
    </xf>
    <xf numFmtId="0" fontId="0" fillId="0" borderId="10" xfId="47" applyFont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0" borderId="0" xfId="47" applyFont="1">
      <alignment/>
      <protection/>
    </xf>
    <xf numFmtId="4" fontId="0" fillId="0" borderId="10" xfId="47" applyNumberFormat="1" applyFont="1" applyBorder="1" applyAlignment="1">
      <alignment vertical="center"/>
      <protection/>
    </xf>
    <xf numFmtId="0" fontId="34" fillId="0" borderId="0" xfId="47" applyFont="1" applyAlignment="1">
      <alignment vertical="center"/>
      <protection/>
    </xf>
    <xf numFmtId="176" fontId="0" fillId="0" borderId="0" xfId="47" applyNumberFormat="1" applyAlignment="1">
      <alignment vertical="center"/>
      <protection/>
    </xf>
    <xf numFmtId="1" fontId="0" fillId="0" borderId="0" xfId="47" applyNumberFormat="1" applyAlignment="1">
      <alignment vertical="center"/>
      <protection/>
    </xf>
    <xf numFmtId="3" fontId="28" fillId="0" borderId="0" xfId="47" applyNumberFormat="1" applyFont="1" applyFill="1" applyAlignment="1">
      <alignment vertical="center"/>
      <protection/>
    </xf>
    <xf numFmtId="0" fontId="28" fillId="38" borderId="10" xfId="47" applyFont="1" applyFill="1" applyBorder="1" applyAlignment="1">
      <alignment horizontal="center" vertical="center" wrapText="1"/>
      <protection/>
    </xf>
    <xf numFmtId="176" fontId="28" fillId="38" borderId="10" xfId="47" applyNumberFormat="1" applyFont="1" applyFill="1" applyBorder="1" applyAlignment="1">
      <alignment horizontal="center" vertical="center" wrapText="1"/>
      <protection/>
    </xf>
    <xf numFmtId="3" fontId="28" fillId="38" borderId="10" xfId="47" applyNumberFormat="1" applyFont="1" applyFill="1" applyBorder="1" applyAlignment="1">
      <alignment horizontal="center" vertical="center" wrapText="1"/>
      <protection/>
    </xf>
    <xf numFmtId="4" fontId="28" fillId="38" borderId="10" xfId="47" applyNumberFormat="1" applyFont="1" applyFill="1" applyBorder="1" applyAlignment="1">
      <alignment horizontal="center" vertical="center" wrapText="1"/>
      <protection/>
    </xf>
    <xf numFmtId="0" fontId="28" fillId="38" borderId="10" xfId="47" applyFont="1" applyFill="1" applyBorder="1" applyAlignment="1">
      <alignment vertical="center"/>
      <protection/>
    </xf>
    <xf numFmtId="176" fontId="28" fillId="38" borderId="10" xfId="47" applyNumberFormat="1" applyFont="1" applyFill="1" applyBorder="1" applyAlignment="1">
      <alignment vertical="center"/>
      <protection/>
    </xf>
    <xf numFmtId="3" fontId="28" fillId="38" borderId="10" xfId="47" applyNumberFormat="1" applyFont="1" applyFill="1" applyBorder="1" applyAlignment="1">
      <alignment vertical="center"/>
      <protection/>
    </xf>
    <xf numFmtId="4" fontId="28" fillId="38" borderId="10" xfId="47" applyNumberFormat="1" applyFont="1" applyFill="1" applyBorder="1" applyAlignment="1">
      <alignment vertical="center"/>
      <protection/>
    </xf>
    <xf numFmtId="0" fontId="28" fillId="39" borderId="10" xfId="47" applyFont="1" applyFill="1" applyBorder="1" applyAlignment="1">
      <alignment vertical="center"/>
      <protection/>
    </xf>
    <xf numFmtId="176" fontId="28" fillId="39" borderId="10" xfId="47" applyNumberFormat="1" applyFont="1" applyFill="1" applyBorder="1" applyAlignment="1">
      <alignment vertical="center"/>
      <protection/>
    </xf>
    <xf numFmtId="3" fontId="28" fillId="39" borderId="10" xfId="47" applyNumberFormat="1" applyFont="1" applyFill="1" applyBorder="1" applyAlignment="1">
      <alignment vertical="center"/>
      <protection/>
    </xf>
    <xf numFmtId="4" fontId="28" fillId="39" borderId="10" xfId="47" applyNumberFormat="1" applyFont="1" applyFill="1" applyBorder="1" applyAlignment="1">
      <alignment vertical="center"/>
      <protection/>
    </xf>
    <xf numFmtId="0" fontId="28" fillId="40" borderId="10" xfId="47" applyFont="1" applyFill="1" applyBorder="1" applyAlignment="1">
      <alignment vertical="center"/>
      <protection/>
    </xf>
    <xf numFmtId="176" fontId="28" fillId="40" borderId="10" xfId="47" applyNumberFormat="1" applyFont="1" applyFill="1" applyBorder="1" applyAlignment="1">
      <alignment vertical="center"/>
      <protection/>
    </xf>
    <xf numFmtId="3" fontId="28" fillId="40" borderId="10" xfId="47" applyNumberFormat="1" applyFont="1" applyFill="1" applyBorder="1" applyAlignment="1">
      <alignment vertical="center"/>
      <protection/>
    </xf>
    <xf numFmtId="4" fontId="28" fillId="40" borderId="10" xfId="47" applyNumberFormat="1" applyFont="1" applyFill="1" applyBorder="1" applyAlignment="1">
      <alignment vertical="center"/>
      <protection/>
    </xf>
    <xf numFmtId="0" fontId="28" fillId="41" borderId="10" xfId="47" applyFont="1" applyFill="1" applyBorder="1" applyAlignment="1">
      <alignment vertical="center"/>
      <protection/>
    </xf>
    <xf numFmtId="176" fontId="28" fillId="41" borderId="10" xfId="47" applyNumberFormat="1" applyFont="1" applyFill="1" applyBorder="1" applyAlignment="1">
      <alignment vertical="center"/>
      <protection/>
    </xf>
    <xf numFmtId="3" fontId="28" fillId="41" borderId="10" xfId="47" applyNumberFormat="1" applyFont="1" applyFill="1" applyBorder="1" applyAlignment="1">
      <alignment vertical="center"/>
      <protection/>
    </xf>
    <xf numFmtId="4" fontId="28" fillId="41" borderId="10" xfId="47" applyNumberFormat="1" applyFont="1" applyFill="1" applyBorder="1" applyAlignment="1">
      <alignment vertical="center"/>
      <protection/>
    </xf>
    <xf numFmtId="0" fontId="28" fillId="41" borderId="23" xfId="47" applyFont="1" applyFill="1" applyBorder="1" applyAlignment="1">
      <alignment vertical="center"/>
      <protection/>
    </xf>
    <xf numFmtId="176" fontId="28" fillId="41" borderId="23" xfId="47" applyNumberFormat="1" applyFont="1" applyFill="1" applyBorder="1" applyAlignment="1">
      <alignment vertical="center"/>
      <protection/>
    </xf>
    <xf numFmtId="3" fontId="28" fillId="41" borderId="23" xfId="47" applyNumberFormat="1" applyFont="1" applyFill="1" applyBorder="1" applyAlignment="1">
      <alignment vertical="center"/>
      <protection/>
    </xf>
    <xf numFmtId="4" fontId="28" fillId="41" borderId="23" xfId="47" applyNumberFormat="1" applyFont="1" applyFill="1" applyBorder="1" applyAlignment="1">
      <alignment vertical="center"/>
      <protection/>
    </xf>
    <xf numFmtId="0" fontId="28" fillId="0" borderId="45" xfId="47" applyFont="1" applyBorder="1" applyAlignment="1">
      <alignment vertical="center"/>
      <protection/>
    </xf>
    <xf numFmtId="0" fontId="28" fillId="0" borderId="35" xfId="47" applyFont="1" applyBorder="1" applyAlignment="1">
      <alignment vertical="center"/>
      <protection/>
    </xf>
    <xf numFmtId="176" fontId="28" fillId="0" borderId="35" xfId="47" applyNumberFormat="1" applyFont="1" applyBorder="1" applyAlignment="1">
      <alignment vertical="center"/>
      <protection/>
    </xf>
    <xf numFmtId="3" fontId="28" fillId="0" borderId="35" xfId="47" applyNumberFormat="1" applyFont="1" applyBorder="1" applyAlignment="1">
      <alignment vertical="center"/>
      <protection/>
    </xf>
    <xf numFmtId="4" fontId="0" fillId="0" borderId="0" xfId="47" applyNumberFormat="1">
      <alignment/>
      <protection/>
    </xf>
    <xf numFmtId="183" fontId="0" fillId="0" borderId="0" xfId="47" applyNumberFormat="1">
      <alignment/>
      <protection/>
    </xf>
    <xf numFmtId="0" fontId="26" fillId="0" borderId="0" xfId="47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ill="1" applyBorder="1" applyAlignment="1">
      <alignment vertical="center"/>
      <protection/>
    </xf>
    <xf numFmtId="0" fontId="70" fillId="0" borderId="0" xfId="49" applyFill="1" applyBorder="1">
      <alignment/>
      <protection/>
    </xf>
    <xf numFmtId="0" fontId="5" fillId="0" borderId="0" xfId="51" applyFont="1" applyFill="1" applyBorder="1" applyAlignment="1">
      <alignment vertical="center"/>
      <protection/>
    </xf>
    <xf numFmtId="0" fontId="5" fillId="0" borderId="0" xfId="47" applyFont="1" applyBorder="1" applyAlignment="1">
      <alignment horizontal="left" vertical="center"/>
      <protection/>
    </xf>
    <xf numFmtId="191" fontId="37" fillId="0" borderId="0" xfId="63" applyNumberFormat="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vertical="center" wrapText="1"/>
      <protection/>
    </xf>
    <xf numFmtId="49" fontId="36" fillId="0" borderId="104" xfId="51" applyNumberFormat="1" applyFont="1" applyFill="1" applyBorder="1" applyAlignment="1" applyProtection="1">
      <alignment vertical="center"/>
      <protection/>
    </xf>
    <xf numFmtId="0" fontId="36" fillId="0" borderId="105" xfId="51" applyNumberFormat="1" applyFont="1" applyFill="1" applyBorder="1" applyAlignment="1" applyProtection="1">
      <alignment vertical="center" wrapText="1"/>
      <protection/>
    </xf>
    <xf numFmtId="0" fontId="0" fillId="0" borderId="45" xfId="0" applyFill="1" applyBorder="1" applyAlignment="1">
      <alignment/>
    </xf>
    <xf numFmtId="191" fontId="36" fillId="10" borderId="106" xfId="63" applyNumberFormat="1" applyFont="1" applyFill="1" applyBorder="1" applyAlignment="1" applyProtection="1">
      <alignment horizontal="right" vertical="center"/>
      <protection/>
    </xf>
    <xf numFmtId="0" fontId="0" fillId="0" borderId="35" xfId="0" applyFill="1" applyBorder="1" applyAlignment="1">
      <alignment/>
    </xf>
    <xf numFmtId="191" fontId="36" fillId="0" borderId="35" xfId="51" applyNumberFormat="1" applyFont="1" applyFill="1" applyBorder="1" applyAlignment="1">
      <alignment horizontal="center" vertical="center"/>
      <protection/>
    </xf>
    <xf numFmtId="191" fontId="36" fillId="10" borderId="107" xfId="63" applyNumberFormat="1" applyFont="1" applyFill="1" applyBorder="1" applyAlignment="1" applyProtection="1">
      <alignment horizontal="right" vertical="center"/>
      <protection/>
    </xf>
    <xf numFmtId="191" fontId="36" fillId="0" borderId="0" xfId="63" applyNumberFormat="1" applyFont="1" applyFill="1" applyBorder="1" applyAlignment="1" applyProtection="1">
      <alignment horizontal="right" vertical="center"/>
      <protection/>
    </xf>
    <xf numFmtId="191" fontId="36" fillId="8" borderId="106" xfId="63" applyNumberFormat="1" applyFont="1" applyFill="1" applyBorder="1" applyAlignment="1" applyProtection="1">
      <alignment horizontal="right" vertical="center"/>
      <protection/>
    </xf>
    <xf numFmtId="0" fontId="0" fillId="0" borderId="108" xfId="0" applyFill="1" applyBorder="1" applyAlignment="1">
      <alignment/>
    </xf>
    <xf numFmtId="191" fontId="36" fillId="8" borderId="105" xfId="63" applyNumberFormat="1" applyFont="1" applyFill="1" applyBorder="1" applyAlignment="1" applyProtection="1">
      <alignment horizontal="right" vertical="center"/>
      <protection/>
    </xf>
    <xf numFmtId="191" fontId="5" fillId="0" borderId="0" xfId="51" applyNumberFormat="1" applyFont="1" applyFill="1" applyBorder="1" applyAlignment="1">
      <alignment vertical="center"/>
      <protection/>
    </xf>
    <xf numFmtId="191" fontId="36" fillId="13" borderId="35" xfId="63" applyNumberFormat="1" applyFont="1" applyFill="1" applyBorder="1" applyAlignment="1" applyProtection="1">
      <alignment horizontal="right" vertical="center"/>
      <protection/>
    </xf>
    <xf numFmtId="191" fontId="36" fillId="13" borderId="70" xfId="63" applyNumberFormat="1" applyFont="1" applyFill="1" applyBorder="1" applyAlignment="1" applyProtection="1">
      <alignment horizontal="right" vertical="center"/>
      <protection/>
    </xf>
    <xf numFmtId="191" fontId="36" fillId="13" borderId="105" xfId="63" applyNumberFormat="1" applyFont="1" applyFill="1" applyBorder="1" applyAlignment="1" applyProtection="1">
      <alignment horizontal="right" vertical="center"/>
      <protection/>
    </xf>
    <xf numFmtId="9" fontId="36" fillId="9" borderId="109" xfId="63" applyFont="1" applyFill="1" applyBorder="1" applyAlignment="1">
      <alignment horizontal="center" vertical="center"/>
    </xf>
    <xf numFmtId="3" fontId="92" fillId="9" borderId="105" xfId="49" applyNumberFormat="1" applyFont="1" applyFill="1" applyBorder="1" applyAlignment="1">
      <alignment vertical="center"/>
      <protection/>
    </xf>
    <xf numFmtId="49" fontId="36" fillId="0" borderId="110" xfId="51" applyNumberFormat="1" applyFont="1" applyFill="1" applyBorder="1" applyAlignment="1" applyProtection="1">
      <alignment vertical="center"/>
      <protection/>
    </xf>
    <xf numFmtId="0" fontId="0" fillId="0" borderId="104" xfId="0" applyFill="1" applyBorder="1" applyAlignment="1">
      <alignment/>
    </xf>
    <xf numFmtId="191" fontId="36" fillId="0" borderId="111" xfId="63" applyNumberFormat="1" applyFont="1" applyFill="1" applyBorder="1" applyAlignment="1" applyProtection="1">
      <alignment horizontal="right" vertical="center"/>
      <protection/>
    </xf>
    <xf numFmtId="0" fontId="0" fillId="0" borderId="47" xfId="0" applyFill="1" applyBorder="1" applyAlignment="1">
      <alignment/>
    </xf>
    <xf numFmtId="0" fontId="5" fillId="0" borderId="47" xfId="51" applyFont="1" applyFill="1" applyBorder="1" applyAlignment="1">
      <alignment horizontal="center" vertical="center" wrapText="1"/>
      <protection/>
    </xf>
    <xf numFmtId="191" fontId="36" fillId="0" borderId="112" xfId="63" applyNumberFormat="1" applyFont="1" applyFill="1" applyBorder="1" applyAlignment="1" applyProtection="1">
      <alignment horizontal="right" vertical="center"/>
      <protection/>
    </xf>
    <xf numFmtId="0" fontId="0" fillId="0" borderId="113" xfId="0" applyFill="1" applyBorder="1" applyAlignment="1">
      <alignment/>
    </xf>
    <xf numFmtId="191" fontId="36" fillId="0" borderId="110" xfId="63" applyNumberFormat="1" applyFont="1" applyFill="1" applyBorder="1" applyAlignment="1" applyProtection="1">
      <alignment horizontal="right" vertical="center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191" fontId="36" fillId="0" borderId="47" xfId="63" applyNumberFormat="1" applyFont="1" applyFill="1" applyBorder="1" applyAlignment="1" applyProtection="1">
      <alignment horizontal="right" vertical="center"/>
      <protection/>
    </xf>
    <xf numFmtId="191" fontId="36" fillId="0" borderId="114" xfId="63" applyNumberFormat="1" applyFont="1" applyFill="1" applyBorder="1" applyAlignment="1" applyProtection="1">
      <alignment horizontal="right" vertical="center"/>
      <protection/>
    </xf>
    <xf numFmtId="10" fontId="36" fillId="0" borderId="115" xfId="63" applyNumberFormat="1" applyFont="1" applyFill="1" applyBorder="1" applyAlignment="1" applyProtection="1">
      <alignment horizontal="right" vertical="center"/>
      <protection/>
    </xf>
    <xf numFmtId="3" fontId="5" fillId="0" borderId="116" xfId="51" applyNumberFormat="1" applyFont="1" applyFill="1" applyBorder="1" applyAlignment="1">
      <alignment vertical="center"/>
      <protection/>
    </xf>
    <xf numFmtId="49" fontId="5" fillId="0" borderId="28" xfId="51" applyNumberFormat="1" applyFont="1" applyFill="1" applyBorder="1" applyAlignment="1" applyProtection="1">
      <alignment horizontal="center" vertical="center"/>
      <protection/>
    </xf>
    <xf numFmtId="49" fontId="36" fillId="0" borderId="117" xfId="51" applyNumberFormat="1" applyFont="1" applyFill="1" applyBorder="1" applyAlignment="1" applyProtection="1">
      <alignment horizontal="left" vertical="center"/>
      <protection/>
    </xf>
    <xf numFmtId="3" fontId="5" fillId="0" borderId="28" xfId="51" applyNumberFormat="1" applyFont="1" applyFill="1" applyBorder="1" applyAlignment="1" applyProtection="1">
      <alignment horizontal="right" vertical="center"/>
      <protection/>
    </xf>
    <xf numFmtId="191" fontId="36" fillId="0" borderId="118" xfId="63" applyNumberFormat="1" applyFont="1" applyFill="1" applyBorder="1" applyAlignment="1" applyProtection="1">
      <alignment horizontal="right" vertical="center"/>
      <protection/>
    </xf>
    <xf numFmtId="49" fontId="36" fillId="0" borderId="0" xfId="51" applyNumberFormat="1" applyFont="1" applyFill="1" applyBorder="1" applyAlignment="1" applyProtection="1">
      <alignment horizontal="left" vertical="center"/>
      <protection/>
    </xf>
    <xf numFmtId="191" fontId="36" fillId="0" borderId="119" xfId="63" applyNumberFormat="1" applyFont="1" applyFill="1" applyBorder="1" applyAlignment="1" applyProtection="1">
      <alignment horizontal="right" vertical="center"/>
      <protection/>
    </xf>
    <xf numFmtId="191" fontId="5" fillId="0" borderId="120" xfId="51" applyNumberFormat="1" applyFont="1" applyFill="1" applyBorder="1" applyAlignment="1">
      <alignment horizontal="center" vertical="center"/>
      <protection/>
    </xf>
    <xf numFmtId="191" fontId="36" fillId="0" borderId="117" xfId="63" applyNumberFormat="1" applyFont="1" applyFill="1" applyBorder="1" applyAlignment="1" applyProtection="1">
      <alignment horizontal="right" vertical="center"/>
      <protection/>
    </xf>
    <xf numFmtId="191" fontId="36" fillId="0" borderId="121" xfId="63" applyNumberFormat="1" applyFont="1" applyFill="1" applyBorder="1" applyAlignment="1" applyProtection="1">
      <alignment horizontal="right" vertical="center"/>
      <protection/>
    </xf>
    <xf numFmtId="10" fontId="5" fillId="0" borderId="122" xfId="63" applyNumberFormat="1" applyFont="1" applyFill="1" applyBorder="1" applyAlignment="1" applyProtection="1">
      <alignment horizontal="right" vertical="center"/>
      <protection/>
    </xf>
    <xf numFmtId="3" fontId="5" fillId="0" borderId="119" xfId="51" applyNumberFormat="1" applyFont="1" applyFill="1" applyBorder="1" applyAlignment="1">
      <alignment vertical="center"/>
      <protection/>
    </xf>
    <xf numFmtId="0" fontId="5" fillId="0" borderId="120" xfId="51" applyFont="1" applyFill="1" applyBorder="1" applyAlignment="1">
      <alignment horizontal="center" vertical="center"/>
      <protection/>
    </xf>
    <xf numFmtId="191" fontId="39" fillId="0" borderId="0" xfId="63" applyNumberFormat="1" applyFont="1" applyFill="1" applyBorder="1" applyAlignment="1" applyProtection="1">
      <alignment horizontal="right" vertical="center"/>
      <protection/>
    </xf>
    <xf numFmtId="3" fontId="5" fillId="0" borderId="28" xfId="51" applyNumberFormat="1" applyFont="1" applyFill="1" applyBorder="1" applyAlignment="1">
      <alignment horizontal="right" vertical="center"/>
      <protection/>
    </xf>
    <xf numFmtId="49" fontId="5" fillId="0" borderId="123" xfId="51" applyNumberFormat="1" applyFont="1" applyFill="1" applyBorder="1" applyAlignment="1" applyProtection="1">
      <alignment horizontal="center" vertical="center"/>
      <protection/>
    </xf>
    <xf numFmtId="49" fontId="36" fillId="0" borderId="124" xfId="51" applyNumberFormat="1" applyFont="1" applyFill="1" applyBorder="1" applyAlignment="1" applyProtection="1">
      <alignment horizontal="left" vertical="center"/>
      <protection/>
    </xf>
    <xf numFmtId="3" fontId="5" fillId="0" borderId="123" xfId="51" applyNumberFormat="1" applyFont="1" applyFill="1" applyBorder="1" applyAlignment="1" applyProtection="1">
      <alignment horizontal="right" vertical="center"/>
      <protection/>
    </xf>
    <xf numFmtId="191" fontId="36" fillId="0" borderId="125" xfId="63" applyNumberFormat="1" applyFont="1" applyFill="1" applyBorder="1" applyAlignment="1" applyProtection="1">
      <alignment horizontal="right" vertical="center"/>
      <protection/>
    </xf>
    <xf numFmtId="49" fontId="36" fillId="0" borderId="126" xfId="51" applyNumberFormat="1" applyFont="1" applyFill="1" applyBorder="1" applyAlignment="1" applyProtection="1">
      <alignment horizontal="left" vertical="center"/>
      <protection/>
    </xf>
    <xf numFmtId="191" fontId="36" fillId="0" borderId="126" xfId="63" applyNumberFormat="1" applyFont="1" applyFill="1" applyBorder="1" applyAlignment="1" applyProtection="1">
      <alignment horizontal="right" vertical="center"/>
      <protection/>
    </xf>
    <xf numFmtId="0" fontId="5" fillId="0" borderId="126" xfId="51" applyFont="1" applyFill="1" applyBorder="1" applyAlignment="1">
      <alignment vertical="center"/>
      <protection/>
    </xf>
    <xf numFmtId="191" fontId="36" fillId="0" borderId="127" xfId="63" applyNumberFormat="1" applyFont="1" applyFill="1" applyBorder="1" applyAlignment="1" applyProtection="1">
      <alignment horizontal="right" vertical="center"/>
      <protection/>
    </xf>
    <xf numFmtId="0" fontId="5" fillId="0" borderId="128" xfId="51" applyFont="1" applyFill="1" applyBorder="1" applyAlignment="1">
      <alignment horizontal="center" vertical="center"/>
      <protection/>
    </xf>
    <xf numFmtId="191" fontId="36" fillId="0" borderId="124" xfId="63" applyNumberFormat="1" applyFont="1" applyFill="1" applyBorder="1" applyAlignment="1" applyProtection="1">
      <alignment horizontal="right" vertical="center"/>
      <protection/>
    </xf>
    <xf numFmtId="191" fontId="36" fillId="0" borderId="129" xfId="63" applyNumberFormat="1" applyFont="1" applyFill="1" applyBorder="1" applyAlignment="1" applyProtection="1">
      <alignment horizontal="right" vertical="center"/>
      <protection/>
    </xf>
    <xf numFmtId="10" fontId="5" fillId="0" borderId="130" xfId="63" applyNumberFormat="1" applyFont="1" applyFill="1" applyBorder="1" applyAlignment="1" applyProtection="1">
      <alignment horizontal="right" vertical="center"/>
      <protection/>
    </xf>
    <xf numFmtId="3" fontId="5" fillId="0" borderId="127" xfId="5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5" applyFill="1" applyBorder="1">
      <alignment/>
      <protection/>
    </xf>
    <xf numFmtId="0" fontId="1" fillId="0" borderId="0" xfId="57" applyAlignment="1">
      <alignment vertical="center"/>
      <protection/>
    </xf>
    <xf numFmtId="1" fontId="0" fillId="0" borderId="70" xfId="57" applyNumberFormat="1" applyFont="1" applyBorder="1" applyAlignment="1">
      <alignment horizontal="center" vertical="center"/>
      <protection/>
    </xf>
    <xf numFmtId="1" fontId="0" fillId="0" borderId="14" xfId="57" applyNumberFormat="1" applyFont="1" applyBorder="1" applyAlignment="1">
      <alignment horizontal="center" vertical="center"/>
      <protection/>
    </xf>
    <xf numFmtId="1" fontId="0" fillId="0" borderId="52" xfId="57" applyNumberFormat="1" applyFont="1" applyBorder="1" applyAlignment="1">
      <alignment horizontal="center" vertical="center"/>
      <protection/>
    </xf>
    <xf numFmtId="1" fontId="0" fillId="0" borderId="26" xfId="57" applyNumberFormat="1" applyFont="1" applyBorder="1" applyAlignment="1">
      <alignment horizontal="center" vertical="center" wrapText="1"/>
      <protection/>
    </xf>
    <xf numFmtId="1" fontId="0" fillId="0" borderId="14" xfId="57" applyNumberFormat="1" applyFont="1" applyBorder="1" applyAlignment="1">
      <alignment horizontal="center" vertical="center" wrapText="1"/>
      <protection/>
    </xf>
    <xf numFmtId="1" fontId="0" fillId="0" borderId="14" xfId="57" applyNumberFormat="1" applyFont="1" applyBorder="1" applyAlignment="1" quotePrefix="1">
      <alignment horizontal="center" vertical="center" wrapText="1"/>
      <protection/>
    </xf>
    <xf numFmtId="1" fontId="0" fillId="0" borderId="14" xfId="57" applyNumberFormat="1" applyFont="1" applyBorder="1" applyAlignment="1" quotePrefix="1">
      <alignment horizontal="center" vertical="center"/>
      <protection/>
    </xf>
    <xf numFmtId="1" fontId="0" fillId="0" borderId="105" xfId="57" applyNumberFormat="1" applyFont="1" applyBorder="1" applyAlignment="1" quotePrefix="1">
      <alignment horizontal="center" vertical="center"/>
      <protection/>
    </xf>
    <xf numFmtId="3" fontId="0" fillId="0" borderId="114" xfId="47" applyNumberFormat="1" applyFont="1" applyBorder="1" applyAlignment="1">
      <alignment horizontal="center" vertical="center"/>
      <protection/>
    </xf>
    <xf numFmtId="3" fontId="0" fillId="0" borderId="18" xfId="47" applyNumberFormat="1" applyFont="1" applyBorder="1" applyAlignment="1">
      <alignment horizontal="center" vertical="center"/>
      <protection/>
    </xf>
    <xf numFmtId="3" fontId="0" fillId="0" borderId="20" xfId="47" applyNumberFormat="1" applyFont="1" applyBorder="1" applyAlignment="1">
      <alignment horizontal="center" vertical="center"/>
      <protection/>
    </xf>
    <xf numFmtId="3" fontId="0" fillId="0" borderId="29" xfId="57" applyNumberFormat="1" applyFont="1" applyBorder="1" applyAlignment="1">
      <alignment horizontal="center" vertical="center"/>
      <protection/>
    </xf>
    <xf numFmtId="3" fontId="0" fillId="0" borderId="18" xfId="47" applyNumberFormat="1" applyFont="1" applyFill="1" applyBorder="1" applyAlignment="1">
      <alignment horizontal="center" vertical="center"/>
      <protection/>
    </xf>
    <xf numFmtId="3" fontId="0" fillId="0" borderId="110" xfId="47" applyNumberFormat="1" applyFont="1" applyFill="1" applyBorder="1" applyAlignment="1">
      <alignment horizontal="center" vertical="center"/>
      <protection/>
    </xf>
    <xf numFmtId="3" fontId="0" fillId="0" borderId="121" xfId="47" applyNumberFormat="1" applyFont="1" applyBorder="1" applyAlignment="1">
      <alignment vertical="center"/>
      <protection/>
    </xf>
    <xf numFmtId="4" fontId="0" fillId="0" borderId="23" xfId="57" applyNumberFormat="1" applyFont="1" applyBorder="1" applyAlignment="1">
      <alignment horizontal="center" vertical="center"/>
      <protection/>
    </xf>
    <xf numFmtId="4" fontId="0" fillId="0" borderId="25" xfId="57" applyNumberFormat="1" applyFont="1" applyBorder="1" applyAlignment="1">
      <alignment horizontal="center" vertical="center"/>
      <protection/>
    </xf>
    <xf numFmtId="4" fontId="0" fillId="0" borderId="31" xfId="57" applyNumberFormat="1" applyFont="1" applyBorder="1" applyAlignment="1">
      <alignment horizontal="center" vertical="center"/>
      <protection/>
    </xf>
    <xf numFmtId="4" fontId="0" fillId="0" borderId="131" xfId="57" applyNumberFormat="1" applyFont="1" applyBorder="1" applyAlignment="1">
      <alignment horizontal="center" vertical="center"/>
      <protection/>
    </xf>
    <xf numFmtId="3" fontId="0" fillId="0" borderId="114" xfId="57" applyNumberFormat="1" applyFont="1" applyBorder="1" applyAlignment="1">
      <alignment horizontal="center" vertical="center"/>
      <protection/>
    </xf>
    <xf numFmtId="3" fontId="0" fillId="0" borderId="18" xfId="57" applyNumberFormat="1" applyFont="1" applyBorder="1" applyAlignment="1">
      <alignment horizontal="center" vertical="center"/>
      <protection/>
    </xf>
    <xf numFmtId="3" fontId="0" fillId="0" borderId="20" xfId="57" applyNumberFormat="1" applyFont="1" applyBorder="1" applyAlignment="1">
      <alignment horizontal="center" vertical="center"/>
      <protection/>
    </xf>
    <xf numFmtId="3" fontId="0" fillId="0" borderId="110" xfId="57" applyNumberFormat="1" applyFont="1" applyBorder="1" applyAlignment="1">
      <alignment horizontal="center" vertical="center"/>
      <protection/>
    </xf>
    <xf numFmtId="4" fontId="0" fillId="0" borderId="129" xfId="57" applyNumberFormat="1" applyFont="1" applyBorder="1" applyAlignment="1">
      <alignment horizontal="center" vertical="center"/>
      <protection/>
    </xf>
    <xf numFmtId="4" fontId="0" fillId="0" borderId="27" xfId="57" applyNumberFormat="1" applyFont="1" applyBorder="1" applyAlignment="1">
      <alignment horizontal="center" vertical="center"/>
      <protection/>
    </xf>
    <xf numFmtId="4" fontId="0" fillId="0" borderId="50" xfId="57" applyNumberFormat="1" applyFont="1" applyBorder="1" applyAlignment="1">
      <alignment horizontal="center" vertical="center"/>
      <protection/>
    </xf>
    <xf numFmtId="4" fontId="0" fillId="0" borderId="32" xfId="57" applyNumberFormat="1" applyFont="1" applyBorder="1" applyAlignment="1">
      <alignment horizontal="center" vertical="center"/>
      <protection/>
    </xf>
    <xf numFmtId="4" fontId="0" fillId="0" borderId="124" xfId="57" applyNumberFormat="1" applyFont="1" applyBorder="1" applyAlignment="1">
      <alignment horizontal="center" vertical="center"/>
      <protection/>
    </xf>
    <xf numFmtId="0" fontId="1" fillId="0" borderId="0" xfId="57" applyFont="1" applyAlignment="1">
      <alignment horizontal="right" vertical="center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Alignment="1">
      <alignment vertical="center" wrapText="1"/>
      <protection/>
    </xf>
    <xf numFmtId="0" fontId="1" fillId="0" borderId="0" xfId="57" applyFont="1" applyFill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0" fillId="0" borderId="132" xfId="47" applyBorder="1" applyAlignment="1">
      <alignment horizontal="center" vertical="center" wrapText="1"/>
      <protection/>
    </xf>
    <xf numFmtId="0" fontId="0" fillId="0" borderId="16" xfId="47" applyBorder="1" applyAlignment="1">
      <alignment horizontal="center" vertical="center" wrapText="1"/>
      <protection/>
    </xf>
    <xf numFmtId="0" fontId="0" fillId="0" borderId="37" xfId="47" applyBorder="1" applyAlignment="1">
      <alignment horizontal="center" vertical="center" wrapText="1"/>
      <protection/>
    </xf>
    <xf numFmtId="0" fontId="0" fillId="0" borderId="133" xfId="47" applyBorder="1" applyAlignment="1">
      <alignment horizontal="center" vertical="center" wrapText="1"/>
      <protection/>
    </xf>
    <xf numFmtId="0" fontId="0" fillId="0" borderId="29" xfId="47" applyBorder="1" applyAlignment="1">
      <alignment horizontal="center" vertical="center"/>
      <protection/>
    </xf>
    <xf numFmtId="3" fontId="0" fillId="0" borderId="18" xfId="47" applyNumberFormat="1" applyBorder="1" applyAlignment="1">
      <alignment vertical="center"/>
      <protection/>
    </xf>
    <xf numFmtId="10" fontId="0" fillId="0" borderId="18" xfId="65" applyNumberFormat="1" applyBorder="1" applyAlignment="1">
      <alignment vertical="center"/>
    </xf>
    <xf numFmtId="3" fontId="0" fillId="0" borderId="19" xfId="47" applyNumberFormat="1" applyBorder="1" applyAlignment="1">
      <alignment vertical="center"/>
      <protection/>
    </xf>
    <xf numFmtId="3" fontId="0" fillId="0" borderId="134" xfId="47" applyNumberFormat="1" applyFill="1" applyBorder="1" applyAlignment="1">
      <alignment vertical="center"/>
      <protection/>
    </xf>
    <xf numFmtId="191" fontId="0" fillId="0" borderId="134" xfId="47" applyNumberFormat="1" applyFill="1" applyBorder="1" applyAlignment="1">
      <alignment vertical="center"/>
      <protection/>
    </xf>
    <xf numFmtId="0" fontId="0" fillId="0" borderId="30" xfId="47" applyBorder="1" applyAlignment="1">
      <alignment horizontal="center" vertical="center"/>
      <protection/>
    </xf>
    <xf numFmtId="10" fontId="0" fillId="0" borderId="10" xfId="65" applyNumberFormat="1" applyBorder="1" applyAlignment="1">
      <alignment vertical="center"/>
    </xf>
    <xf numFmtId="3" fontId="0" fillId="0" borderId="135" xfId="47" applyNumberFormat="1" applyFill="1" applyBorder="1" applyAlignment="1">
      <alignment vertical="center"/>
      <protection/>
    </xf>
    <xf numFmtId="191" fontId="0" fillId="0" borderId="135" xfId="47" applyNumberFormat="1" applyFill="1" applyBorder="1" applyAlignment="1">
      <alignment vertical="center"/>
      <protection/>
    </xf>
    <xf numFmtId="0" fontId="0" fillId="0" borderId="30" xfId="47" applyFill="1" applyBorder="1" applyAlignment="1">
      <alignment horizontal="center" vertical="center"/>
      <protection/>
    </xf>
    <xf numFmtId="10" fontId="0" fillId="0" borderId="10" xfId="65" applyNumberFormat="1" applyFill="1" applyBorder="1" applyAlignment="1">
      <alignment vertical="center"/>
    </xf>
    <xf numFmtId="3" fontId="0" fillId="0" borderId="36" xfId="47" applyNumberFormat="1" applyFill="1" applyBorder="1" applyAlignment="1">
      <alignment vertical="center"/>
      <protection/>
    </xf>
    <xf numFmtId="0" fontId="0" fillId="0" borderId="30" xfId="47" applyFill="1" applyBorder="1" applyAlignment="1">
      <alignment horizontal="center" vertical="center" wrapText="1"/>
      <protection/>
    </xf>
    <xf numFmtId="3" fontId="0" fillId="0" borderId="36" xfId="47" applyNumberFormat="1" applyFont="1" applyFill="1" applyBorder="1" applyAlignment="1" quotePrefix="1">
      <alignment vertical="center"/>
      <protection/>
    </xf>
    <xf numFmtId="0" fontId="0" fillId="35" borderId="42" xfId="47" applyFill="1" applyBorder="1" applyAlignment="1">
      <alignment horizontal="center" vertical="center" wrapText="1"/>
      <protection/>
    </xf>
    <xf numFmtId="3" fontId="0" fillId="35" borderId="11" xfId="47" applyNumberFormat="1" applyFill="1" applyBorder="1" applyAlignment="1">
      <alignment horizontal="right" vertical="center"/>
      <protection/>
    </xf>
    <xf numFmtId="3" fontId="0" fillId="0" borderId="11" xfId="47" applyNumberFormat="1" applyFill="1" applyBorder="1" applyAlignment="1">
      <alignment vertical="center"/>
      <protection/>
    </xf>
    <xf numFmtId="10" fontId="0" fillId="0" borderId="11" xfId="65" applyNumberFormat="1" applyFill="1" applyBorder="1" applyAlignment="1">
      <alignment vertical="center"/>
    </xf>
    <xf numFmtId="3" fontId="0" fillId="0" borderId="43" xfId="47" applyNumberFormat="1" applyFont="1" applyFill="1" applyBorder="1" applyAlignment="1" quotePrefix="1">
      <alignment vertical="center"/>
      <protection/>
    </xf>
    <xf numFmtId="3" fontId="0" fillId="0" borderId="136" xfId="47" applyNumberFormat="1" applyFill="1" applyBorder="1" applyAlignment="1">
      <alignment vertical="center"/>
      <protection/>
    </xf>
    <xf numFmtId="0" fontId="0" fillId="0" borderId="31" xfId="47" applyFill="1" applyBorder="1" applyAlignment="1">
      <alignment horizontal="center" vertical="center" wrapText="1"/>
      <protection/>
    </xf>
    <xf numFmtId="3" fontId="0" fillId="0" borderId="23" xfId="47" applyNumberFormat="1" applyFill="1" applyBorder="1" applyAlignment="1">
      <alignment horizontal="right" vertical="center"/>
      <protection/>
    </xf>
    <xf numFmtId="3" fontId="0" fillId="0" borderId="23" xfId="47" applyNumberFormat="1" applyFill="1" applyBorder="1" applyAlignment="1">
      <alignment vertical="center"/>
      <protection/>
    </xf>
    <xf numFmtId="10" fontId="0" fillId="0" borderId="23" xfId="65" applyNumberFormat="1" applyFill="1" applyBorder="1" applyAlignment="1">
      <alignment vertical="center"/>
    </xf>
    <xf numFmtId="3" fontId="0" fillId="0" borderId="24" xfId="47" applyNumberFormat="1" applyFont="1" applyFill="1" applyBorder="1" applyAlignment="1" quotePrefix="1">
      <alignment vertical="center"/>
      <protection/>
    </xf>
    <xf numFmtId="3" fontId="0" fillId="0" borderId="137" xfId="47" applyNumberFormat="1" applyFill="1" applyBorder="1" applyAlignment="1">
      <alignment vertical="center"/>
      <protection/>
    </xf>
    <xf numFmtId="191" fontId="0" fillId="0" borderId="137" xfId="47" applyNumberFormat="1" applyFill="1" applyBorder="1" applyAlignment="1">
      <alignment vertical="center"/>
      <protection/>
    </xf>
    <xf numFmtId="4" fontId="0" fillId="0" borderId="0" xfId="47" applyNumberFormat="1" applyAlignment="1">
      <alignment vertical="center"/>
      <protection/>
    </xf>
    <xf numFmtId="0" fontId="0" fillId="0" borderId="0" xfId="47" applyFont="1" applyAlignment="1">
      <alignment horizontal="left" vertical="center"/>
      <protection/>
    </xf>
    <xf numFmtId="3" fontId="0" fillId="0" borderId="0" xfId="47" applyNumberFormat="1" applyFont="1" applyAlignment="1">
      <alignment vertical="center"/>
      <protection/>
    </xf>
    <xf numFmtId="0" fontId="43" fillId="0" borderId="0" xfId="58" applyFont="1" applyAlignment="1">
      <alignment horizontal="center" vertical="center"/>
      <protection/>
    </xf>
    <xf numFmtId="0" fontId="44" fillId="0" borderId="0" xfId="58" applyFont="1" applyAlignment="1">
      <alignment vertical="center"/>
      <protection/>
    </xf>
    <xf numFmtId="0" fontId="1" fillId="0" borderId="0" xfId="58" applyAlignment="1">
      <alignment vertical="center"/>
      <protection/>
    </xf>
    <xf numFmtId="0" fontId="45" fillId="0" borderId="0" xfId="58" applyFont="1" applyAlignment="1">
      <alignment vertical="center"/>
      <protection/>
    </xf>
    <xf numFmtId="0" fontId="1" fillId="0" borderId="0" xfId="58" applyBorder="1" applyAlignment="1">
      <alignment horizontal="center" vertical="center"/>
      <protection/>
    </xf>
    <xf numFmtId="0" fontId="1" fillId="0" borderId="134" xfId="58" applyFill="1" applyBorder="1" applyAlignment="1">
      <alignment horizontal="center" vertical="center"/>
      <protection/>
    </xf>
    <xf numFmtId="3" fontId="1" fillId="0" borderId="29" xfId="58" applyNumberFormat="1" applyBorder="1" applyAlignment="1">
      <alignment vertical="center"/>
      <protection/>
    </xf>
    <xf numFmtId="3" fontId="1" fillId="0" borderId="18" xfId="58" applyNumberFormat="1" applyBorder="1" applyAlignment="1">
      <alignment vertical="center"/>
      <protection/>
    </xf>
    <xf numFmtId="3" fontId="1" fillId="0" borderId="20" xfId="58" applyNumberFormat="1" applyBorder="1" applyAlignment="1">
      <alignment vertical="center"/>
      <protection/>
    </xf>
    <xf numFmtId="3" fontId="1" fillId="0" borderId="134" xfId="58" applyNumberFormat="1" applyBorder="1" applyAlignment="1">
      <alignment vertical="center"/>
      <protection/>
    </xf>
    <xf numFmtId="0" fontId="1" fillId="0" borderId="114" xfId="58" applyBorder="1" applyAlignment="1">
      <alignment vertical="center"/>
      <protection/>
    </xf>
    <xf numFmtId="0" fontId="1" fillId="0" borderId="20" xfId="58" applyBorder="1" applyAlignment="1">
      <alignment vertical="center"/>
      <protection/>
    </xf>
    <xf numFmtId="0" fontId="1" fillId="0" borderId="135" xfId="58" applyFill="1" applyBorder="1" applyAlignment="1">
      <alignment horizontal="center" vertical="center"/>
      <protection/>
    </xf>
    <xf numFmtId="3" fontId="1" fillId="0" borderId="30" xfId="58" applyNumberFormat="1" applyBorder="1" applyAlignment="1">
      <alignment vertical="center"/>
      <protection/>
    </xf>
    <xf numFmtId="3" fontId="1" fillId="0" borderId="10" xfId="58" applyNumberFormat="1" applyFill="1" applyBorder="1" applyAlignment="1">
      <alignment vertical="center"/>
      <protection/>
    </xf>
    <xf numFmtId="3" fontId="1" fillId="0" borderId="10" xfId="58" applyNumberFormat="1" applyBorder="1" applyAlignment="1">
      <alignment vertical="center"/>
      <protection/>
    </xf>
    <xf numFmtId="3" fontId="1" fillId="0" borderId="22" xfId="58" applyNumberFormat="1" applyBorder="1" applyAlignment="1">
      <alignment vertical="center"/>
      <protection/>
    </xf>
    <xf numFmtId="3" fontId="1" fillId="0" borderId="135" xfId="58" applyNumberFormat="1" applyBorder="1" applyAlignment="1">
      <alignment vertical="center"/>
      <protection/>
    </xf>
    <xf numFmtId="3" fontId="1" fillId="0" borderId="65" xfId="58" applyNumberFormat="1" applyBorder="1" applyAlignment="1">
      <alignment vertical="center"/>
      <protection/>
    </xf>
    <xf numFmtId="191" fontId="1" fillId="0" borderId="22" xfId="58" applyNumberFormat="1" applyBorder="1" applyAlignment="1">
      <alignment vertical="center"/>
      <protection/>
    </xf>
    <xf numFmtId="0" fontId="1" fillId="0" borderId="135" xfId="58" applyBorder="1" applyAlignment="1">
      <alignment horizontal="center" vertical="center"/>
      <protection/>
    </xf>
    <xf numFmtId="0" fontId="1" fillId="35" borderId="135" xfId="58" applyFill="1" applyBorder="1" applyAlignment="1">
      <alignment horizontal="center" vertical="center"/>
      <protection/>
    </xf>
    <xf numFmtId="0" fontId="1" fillId="35" borderId="138" xfId="58" applyFill="1" applyBorder="1" applyAlignment="1">
      <alignment horizontal="center" vertical="center"/>
      <protection/>
    </xf>
    <xf numFmtId="3" fontId="1" fillId="0" borderId="32" xfId="58" applyNumberFormat="1" applyBorder="1" applyAlignment="1">
      <alignment vertical="center"/>
      <protection/>
    </xf>
    <xf numFmtId="3" fontId="1" fillId="0" borderId="27" xfId="58" applyNumberFormat="1" applyBorder="1" applyAlignment="1">
      <alignment vertical="center"/>
      <protection/>
    </xf>
    <xf numFmtId="3" fontId="1" fillId="0" borderId="139" xfId="58" applyNumberFormat="1" applyBorder="1" applyAlignment="1">
      <alignment vertical="center"/>
      <protection/>
    </xf>
    <xf numFmtId="3" fontId="1" fillId="0" borderId="137" xfId="58" applyNumberFormat="1" applyBorder="1" applyAlignment="1">
      <alignment vertical="center"/>
      <protection/>
    </xf>
    <xf numFmtId="3" fontId="1" fillId="0" borderId="140" xfId="58" applyNumberFormat="1" applyBorder="1" applyAlignment="1">
      <alignment vertical="center"/>
      <protection/>
    </xf>
    <xf numFmtId="191" fontId="1" fillId="0" borderId="25" xfId="58" applyNumberFormat="1" applyBorder="1" applyAlignment="1">
      <alignment vertical="center"/>
      <protection/>
    </xf>
    <xf numFmtId="0" fontId="28" fillId="0" borderId="132" xfId="47" applyFont="1" applyBorder="1" applyAlignment="1">
      <alignment horizontal="center" vertical="center" wrapText="1"/>
      <protection/>
    </xf>
    <xf numFmtId="0" fontId="28" fillId="0" borderId="16" xfId="47" applyFont="1" applyBorder="1" applyAlignment="1">
      <alignment horizontal="center" vertical="center" wrapText="1"/>
      <protection/>
    </xf>
    <xf numFmtId="0" fontId="28" fillId="0" borderId="17" xfId="47" applyFont="1" applyBorder="1" applyAlignment="1">
      <alignment horizontal="center" vertical="center" wrapText="1"/>
      <protection/>
    </xf>
    <xf numFmtId="0" fontId="0" fillId="0" borderId="0" xfId="47" applyAlignment="1">
      <alignment horizontal="center" vertical="center" wrapText="1"/>
      <protection/>
    </xf>
    <xf numFmtId="49" fontId="0" fillId="0" borderId="29" xfId="47" applyNumberFormat="1" applyFont="1" applyFill="1" applyBorder="1" applyAlignment="1" applyProtection="1">
      <alignment vertical="center"/>
      <protection/>
    </xf>
    <xf numFmtId="0" fontId="0" fillId="0" borderId="20" xfId="47" applyFont="1" applyFill="1" applyBorder="1" applyAlignment="1">
      <alignment vertical="center"/>
      <protection/>
    </xf>
    <xf numFmtId="0" fontId="0" fillId="0" borderId="20" xfId="47" applyFont="1" applyBorder="1" applyAlignment="1">
      <alignment vertical="center"/>
      <protection/>
    </xf>
    <xf numFmtId="49" fontId="0" fillId="0" borderId="30" xfId="47" applyNumberFormat="1" applyFont="1" applyFill="1" applyBorder="1" applyAlignment="1" applyProtection="1">
      <alignment vertical="center"/>
      <protection/>
    </xf>
    <xf numFmtId="0" fontId="0" fillId="0" borderId="22" xfId="47" applyFont="1" applyFill="1" applyBorder="1" applyAlignment="1">
      <alignment vertical="center"/>
      <protection/>
    </xf>
    <xf numFmtId="0" fontId="0" fillId="0" borderId="22" xfId="47" applyFont="1" applyBorder="1" applyAlignment="1">
      <alignment vertical="center"/>
      <protection/>
    </xf>
    <xf numFmtId="49" fontId="0" fillId="0" borderId="31" xfId="47" applyNumberFormat="1" applyFont="1" applyFill="1" applyBorder="1" applyAlignment="1" applyProtection="1">
      <alignment vertical="center"/>
      <protection/>
    </xf>
    <xf numFmtId="0" fontId="0" fillId="0" borderId="25" xfId="47" applyFont="1" applyFill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" fontId="15" fillId="0" borderId="27" xfId="60" applyNumberFormat="1" applyFont="1" applyFill="1" applyBorder="1" applyAlignment="1">
      <alignment horizontal="center" vertical="center"/>
      <protection/>
    </xf>
    <xf numFmtId="1" fontId="15" fillId="0" borderId="139" xfId="60" applyNumberFormat="1" applyFont="1" applyFill="1" applyBorder="1" applyAlignment="1">
      <alignment horizontal="center" vertical="center"/>
      <protection/>
    </xf>
    <xf numFmtId="0" fontId="14" fillId="35" borderId="117" xfId="60" applyFont="1" applyFill="1" applyBorder="1" applyAlignment="1">
      <alignment vertical="center"/>
      <protection/>
    </xf>
    <xf numFmtId="191" fontId="14" fillId="35" borderId="16" xfId="60" applyNumberFormat="1" applyFont="1" applyFill="1" applyBorder="1" applyAlignment="1">
      <alignment vertical="center"/>
      <protection/>
    </xf>
    <xf numFmtId="191" fontId="14" fillId="35" borderId="17" xfId="60" applyNumberFormat="1" applyFont="1" applyFill="1" applyBorder="1" applyAlignment="1">
      <alignment vertical="center"/>
      <protection/>
    </xf>
    <xf numFmtId="191" fontId="14" fillId="35" borderId="10" xfId="60" applyNumberFormat="1" applyFont="1" applyFill="1" applyBorder="1" applyAlignment="1">
      <alignment vertical="center"/>
      <protection/>
    </xf>
    <xf numFmtId="191" fontId="14" fillId="35" borderId="10" xfId="60" applyNumberFormat="1" applyFont="1" applyFill="1" applyBorder="1" applyAlignment="1">
      <alignment horizontal="center" vertical="center"/>
      <protection/>
    </xf>
    <xf numFmtId="191" fontId="14" fillId="35" borderId="22" xfId="60" applyNumberFormat="1" applyFont="1" applyFill="1" applyBorder="1" applyAlignment="1">
      <alignment horizontal="center" vertical="center"/>
      <protection/>
    </xf>
    <xf numFmtId="191" fontId="14" fillId="35" borderId="23" xfId="60" applyNumberFormat="1" applyFont="1" applyFill="1" applyBorder="1" applyAlignment="1">
      <alignment vertical="center"/>
      <protection/>
    </xf>
    <xf numFmtId="191" fontId="14" fillId="35" borderId="25" xfId="60" applyNumberFormat="1" applyFont="1" applyFill="1" applyBorder="1" applyAlignment="1">
      <alignment horizontal="right" vertical="center"/>
      <protection/>
    </xf>
    <xf numFmtId="191" fontId="17" fillId="35" borderId="27" xfId="60" applyNumberFormat="1" applyFont="1" applyFill="1" applyBorder="1" applyAlignment="1">
      <alignment horizontal="right" vertical="center"/>
      <protection/>
    </xf>
    <xf numFmtId="191" fontId="16" fillId="35" borderId="139" xfId="60" applyNumberFormat="1" applyFont="1" applyFill="1" applyBorder="1" applyAlignment="1">
      <alignment horizontal="right" vertical="center"/>
      <protection/>
    </xf>
    <xf numFmtId="0" fontId="14" fillId="35" borderId="0" xfId="47" applyFont="1" applyFill="1" applyBorder="1" applyAlignment="1">
      <alignment horizontal="right"/>
      <protection/>
    </xf>
    <xf numFmtId="180" fontId="14" fillId="35" borderId="117" xfId="60" applyNumberFormat="1" applyFont="1" applyFill="1" applyBorder="1" applyAlignment="1">
      <alignment horizontal="right" vertical="center"/>
      <protection/>
    </xf>
    <xf numFmtId="191" fontId="14" fillId="35" borderId="0" xfId="60" applyNumberFormat="1" applyFont="1" applyFill="1" applyBorder="1" applyAlignment="1">
      <alignment horizontal="right" vertical="center"/>
      <protection/>
    </xf>
    <xf numFmtId="191" fontId="14" fillId="35" borderId="117" xfId="60" applyNumberFormat="1" applyFont="1" applyFill="1" applyBorder="1" applyAlignment="1">
      <alignment horizontal="right" vertical="center"/>
      <protection/>
    </xf>
    <xf numFmtId="191" fontId="14" fillId="35" borderId="18" xfId="60" applyNumberFormat="1" applyFont="1" applyFill="1" applyBorder="1" applyAlignment="1">
      <alignment horizontal="right" vertical="center"/>
      <protection/>
    </xf>
    <xf numFmtId="191" fontId="14" fillId="35" borderId="110" xfId="60" applyNumberFormat="1" applyFont="1" applyFill="1" applyBorder="1" applyAlignment="1">
      <alignment horizontal="right" vertical="center"/>
      <protection/>
    </xf>
    <xf numFmtId="191" fontId="14" fillId="35" borderId="10" xfId="60" applyNumberFormat="1" applyFont="1" applyFill="1" applyBorder="1" applyAlignment="1">
      <alignment horizontal="right" vertical="center"/>
      <protection/>
    </xf>
    <xf numFmtId="191" fontId="14" fillId="35" borderId="141" xfId="60" applyNumberFormat="1" applyFont="1" applyFill="1" applyBorder="1" applyAlignment="1">
      <alignment horizontal="right" vertical="center"/>
      <protection/>
    </xf>
    <xf numFmtId="191" fontId="14" fillId="35" borderId="23" xfId="60" applyNumberFormat="1" applyFont="1" applyFill="1" applyBorder="1" applyAlignment="1">
      <alignment horizontal="right" vertical="center"/>
      <protection/>
    </xf>
    <xf numFmtId="191" fontId="14" fillId="35" borderId="131" xfId="60" applyNumberFormat="1" applyFont="1" applyFill="1" applyBorder="1" applyAlignment="1">
      <alignment horizontal="right" vertical="center"/>
      <protection/>
    </xf>
    <xf numFmtId="191" fontId="14" fillId="35" borderId="20" xfId="60" applyNumberFormat="1" applyFont="1" applyFill="1" applyBorder="1" applyAlignment="1">
      <alignment horizontal="right" vertical="center"/>
      <protection/>
    </xf>
    <xf numFmtId="191" fontId="14" fillId="35" borderId="14" xfId="60" applyNumberFormat="1" applyFont="1" applyFill="1" applyBorder="1" applyAlignment="1">
      <alignment horizontal="right" vertical="center"/>
      <protection/>
    </xf>
    <xf numFmtId="191" fontId="14" fillId="35" borderId="52" xfId="60" applyNumberFormat="1" applyFont="1" applyFill="1" applyBorder="1" applyAlignment="1">
      <alignment horizontal="right" vertical="center"/>
      <protection/>
    </xf>
    <xf numFmtId="191" fontId="14" fillId="35" borderId="142" xfId="60" applyNumberFormat="1" applyFont="1" applyFill="1" applyBorder="1" applyAlignment="1">
      <alignment horizontal="right" vertical="center"/>
      <protection/>
    </xf>
    <xf numFmtId="191" fontId="14" fillId="35" borderId="22" xfId="60" applyNumberFormat="1" applyFont="1" applyFill="1" applyBorder="1" applyAlignment="1">
      <alignment horizontal="right" vertical="center"/>
      <protection/>
    </xf>
    <xf numFmtId="191" fontId="14" fillId="35" borderId="11" xfId="60" applyNumberFormat="1" applyFont="1" applyFill="1" applyBorder="1" applyAlignment="1">
      <alignment horizontal="right" vertical="center"/>
      <protection/>
    </xf>
    <xf numFmtId="191" fontId="14" fillId="35" borderId="143" xfId="60" applyNumberFormat="1" applyFont="1" applyFill="1" applyBorder="1" applyAlignment="1">
      <alignment horizontal="right" vertical="center"/>
      <protection/>
    </xf>
    <xf numFmtId="191" fontId="14" fillId="35" borderId="13" xfId="60" applyNumberFormat="1" applyFont="1" applyFill="1" applyBorder="1" applyAlignment="1">
      <alignment horizontal="right" vertical="center"/>
      <protection/>
    </xf>
    <xf numFmtId="191" fontId="17" fillId="35" borderId="14" xfId="60" applyNumberFormat="1" applyFont="1" applyFill="1" applyBorder="1" applyAlignment="1">
      <alignment horizontal="right" vertical="center"/>
      <protection/>
    </xf>
    <xf numFmtId="191" fontId="16" fillId="35" borderId="52" xfId="60" applyNumberFormat="1" applyFont="1" applyFill="1" applyBorder="1" applyAlignment="1">
      <alignment horizontal="right" vertical="center"/>
      <protection/>
    </xf>
    <xf numFmtId="3" fontId="48" fillId="35" borderId="0" xfId="60" applyNumberFormat="1" applyFont="1" applyFill="1" applyBorder="1" applyAlignment="1">
      <alignment horizontal="right" vertical="center"/>
      <protection/>
    </xf>
    <xf numFmtId="191" fontId="48" fillId="35" borderId="0" xfId="60" applyNumberFormat="1" applyFont="1" applyFill="1" applyBorder="1" applyAlignment="1">
      <alignment horizontal="right" vertical="center"/>
      <protection/>
    </xf>
    <xf numFmtId="0" fontId="14" fillId="35" borderId="117" xfId="60" applyFont="1" applyFill="1" applyBorder="1" applyAlignment="1">
      <alignment horizontal="right" vertical="center"/>
      <protection/>
    </xf>
    <xf numFmtId="191" fontId="17" fillId="35" borderId="18" xfId="60" applyNumberFormat="1" applyFont="1" applyFill="1" applyBorder="1" applyAlignment="1">
      <alignment horizontal="right" vertical="center"/>
      <protection/>
    </xf>
    <xf numFmtId="191" fontId="16" fillId="35" borderId="20" xfId="60" applyNumberFormat="1" applyFont="1" applyFill="1" applyBorder="1" applyAlignment="1">
      <alignment horizontal="right" vertical="center"/>
      <protection/>
    </xf>
    <xf numFmtId="191" fontId="17" fillId="35" borderId="10" xfId="60" applyNumberFormat="1" applyFont="1" applyFill="1" applyBorder="1" applyAlignment="1">
      <alignment horizontal="right" vertical="center"/>
      <protection/>
    </xf>
    <xf numFmtId="191" fontId="17" fillId="35" borderId="22" xfId="60" applyNumberFormat="1" applyFont="1" applyFill="1" applyBorder="1" applyAlignment="1">
      <alignment horizontal="right" vertical="center"/>
      <protection/>
    </xf>
    <xf numFmtId="191" fontId="16" fillId="35" borderId="22" xfId="60" applyNumberFormat="1" applyFont="1" applyFill="1" applyBorder="1" applyAlignment="1">
      <alignment horizontal="right" vertical="center"/>
      <protection/>
    </xf>
    <xf numFmtId="191" fontId="17" fillId="35" borderId="23" xfId="60" applyNumberFormat="1" applyFont="1" applyFill="1" applyBorder="1" applyAlignment="1">
      <alignment horizontal="right" vertical="center"/>
      <protection/>
    </xf>
    <xf numFmtId="3" fontId="16" fillId="35" borderId="25" xfId="60" applyNumberFormat="1" applyFont="1" applyFill="1" applyBorder="1" applyAlignment="1">
      <alignment horizontal="right" vertical="center"/>
      <protection/>
    </xf>
    <xf numFmtId="0" fontId="12" fillId="35" borderId="24" xfId="60" applyFont="1" applyFill="1" applyBorder="1" applyAlignment="1">
      <alignment horizontal="left" vertical="center"/>
      <protection/>
    </xf>
    <xf numFmtId="0" fontId="12" fillId="35" borderId="51" xfId="60" applyFont="1" applyFill="1" applyBorder="1" applyAlignment="1">
      <alignment horizontal="left" vertical="center"/>
      <protection/>
    </xf>
    <xf numFmtId="0" fontId="16" fillId="35" borderId="50" xfId="60" applyFont="1" applyFill="1" applyBorder="1" applyAlignment="1">
      <alignment horizontal="left" vertical="center"/>
      <protection/>
    </xf>
    <xf numFmtId="0" fontId="16" fillId="35" borderId="126" xfId="60" applyFont="1" applyFill="1" applyBorder="1" applyAlignment="1">
      <alignment horizontal="left" vertical="center"/>
      <protection/>
    </xf>
    <xf numFmtId="0" fontId="13" fillId="35" borderId="36" xfId="60" applyFont="1" applyFill="1" applyBorder="1" applyAlignment="1">
      <alignment horizontal="left" vertical="center"/>
      <protection/>
    </xf>
    <xf numFmtId="0" fontId="13" fillId="35" borderId="39" xfId="60" applyFont="1" applyFill="1" applyBorder="1" applyAlignment="1">
      <alignment horizontal="left" vertical="center"/>
      <protection/>
    </xf>
    <xf numFmtId="0" fontId="13" fillId="35" borderId="24" xfId="60" applyFont="1" applyFill="1" applyBorder="1" applyAlignment="1">
      <alignment horizontal="left" vertical="center"/>
      <protection/>
    </xf>
    <xf numFmtId="0" fontId="13" fillId="35" borderId="51" xfId="60" applyFont="1" applyFill="1" applyBorder="1" applyAlignment="1">
      <alignment horizontal="left" vertical="center"/>
      <protection/>
    </xf>
    <xf numFmtId="0" fontId="12" fillId="35" borderId="36" xfId="60" applyFont="1" applyFill="1" applyBorder="1" applyAlignment="1">
      <alignment horizontal="left" vertical="center"/>
      <protection/>
    </xf>
    <xf numFmtId="0" fontId="12" fillId="35" borderId="39" xfId="60" applyFont="1" applyFill="1" applyBorder="1" applyAlignment="1">
      <alignment horizontal="left" vertical="center"/>
      <protection/>
    </xf>
    <xf numFmtId="0" fontId="16" fillId="35" borderId="15" xfId="60" applyFont="1" applyFill="1" applyBorder="1" applyAlignment="1">
      <alignment horizontal="left" vertical="center"/>
      <protection/>
    </xf>
    <xf numFmtId="0" fontId="16" fillId="35" borderId="35" xfId="60" applyFont="1" applyFill="1" applyBorder="1" applyAlignment="1">
      <alignment horizontal="left" vertical="center"/>
      <protection/>
    </xf>
    <xf numFmtId="0" fontId="12" fillId="35" borderId="19" xfId="60" applyFont="1" applyFill="1" applyBorder="1" applyAlignment="1">
      <alignment horizontal="left" vertical="center"/>
      <protection/>
    </xf>
    <xf numFmtId="0" fontId="12" fillId="35" borderId="47" xfId="60" applyFont="1" applyFill="1" applyBorder="1" applyAlignment="1">
      <alignment horizontal="left" vertical="center"/>
      <protection/>
    </xf>
    <xf numFmtId="10" fontId="15" fillId="0" borderId="18" xfId="60" applyNumberFormat="1" applyFont="1" applyFill="1" applyBorder="1" applyAlignment="1">
      <alignment horizontal="center" vertical="center" wrapText="1"/>
      <protection/>
    </xf>
    <xf numFmtId="10" fontId="15" fillId="0" borderId="10" xfId="60" applyNumberFormat="1" applyFont="1" applyFill="1" applyBorder="1" applyAlignment="1">
      <alignment horizontal="center" vertical="center" wrapText="1"/>
      <protection/>
    </xf>
    <xf numFmtId="10" fontId="15" fillId="0" borderId="23" xfId="60" applyNumberFormat="1" applyFont="1" applyFill="1" applyBorder="1" applyAlignment="1">
      <alignment horizontal="center" vertical="center" wrapText="1"/>
      <protection/>
    </xf>
    <xf numFmtId="49" fontId="11" fillId="0" borderId="18" xfId="60" applyNumberFormat="1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49" fontId="11" fillId="0" borderId="23" xfId="60" applyNumberFormat="1" applyFont="1" applyFill="1" applyBorder="1" applyAlignment="1">
      <alignment horizontal="center" vertical="center" wrapText="1"/>
      <protection/>
    </xf>
    <xf numFmtId="49" fontId="15" fillId="0" borderId="20" xfId="60" applyNumberFormat="1" applyFont="1" applyFill="1" applyBorder="1" applyAlignment="1">
      <alignment horizontal="center" vertical="center" wrapText="1"/>
      <protection/>
    </xf>
    <xf numFmtId="49" fontId="15" fillId="0" borderId="22" xfId="60" applyNumberFormat="1" applyFont="1" applyFill="1" applyBorder="1" applyAlignment="1">
      <alignment horizontal="center" vertical="center" wrapText="1"/>
      <protection/>
    </xf>
    <xf numFmtId="49" fontId="15" fillId="0" borderId="25" xfId="60" applyNumberFormat="1" applyFont="1" applyFill="1" applyBorder="1" applyAlignment="1">
      <alignment horizontal="center" vertical="center" wrapText="1"/>
      <protection/>
    </xf>
    <xf numFmtId="1" fontId="11" fillId="0" borderId="15" xfId="60" applyNumberFormat="1" applyFont="1" applyFill="1" applyBorder="1" applyAlignment="1">
      <alignment horizontal="center" vertical="center"/>
      <protection/>
    </xf>
    <xf numFmtId="1" fontId="11" fillId="0" borderId="35" xfId="60" applyNumberFormat="1" applyFont="1" applyFill="1" applyBorder="1" applyAlignment="1">
      <alignment horizontal="center" vertical="center"/>
      <protection/>
    </xf>
    <xf numFmtId="0" fontId="11" fillId="35" borderId="31" xfId="59" applyFont="1" applyFill="1" applyBorder="1" applyAlignment="1">
      <alignment horizontal="left" vertical="center" wrapText="1"/>
      <protection/>
    </xf>
    <xf numFmtId="0" fontId="11" fillId="35" borderId="23" xfId="59" applyFont="1" applyFill="1" applyBorder="1" applyAlignment="1">
      <alignment horizontal="left" vertical="center" wrapText="1"/>
      <protection/>
    </xf>
    <xf numFmtId="0" fontId="11" fillId="35" borderId="30" xfId="60" applyFont="1" applyFill="1" applyBorder="1" applyAlignment="1">
      <alignment horizontal="left" vertical="center" wrapText="1"/>
      <protection/>
    </xf>
    <xf numFmtId="0" fontId="11" fillId="35" borderId="10" xfId="60" applyFont="1" applyFill="1" applyBorder="1" applyAlignment="1">
      <alignment horizontal="left" vertical="center" wrapText="1"/>
      <protection/>
    </xf>
    <xf numFmtId="0" fontId="12" fillId="35" borderId="37" xfId="60" applyFont="1" applyFill="1" applyBorder="1" applyAlignment="1">
      <alignment horizontal="center" vertical="center"/>
      <protection/>
    </xf>
    <xf numFmtId="0" fontId="12" fillId="35" borderId="144" xfId="60" applyFont="1" applyFill="1" applyBorder="1" applyAlignment="1">
      <alignment horizontal="center" vertical="center"/>
      <protection/>
    </xf>
    <xf numFmtId="0" fontId="11" fillId="35" borderId="31" xfId="60" applyFont="1" applyFill="1" applyBorder="1" applyAlignment="1">
      <alignment horizontal="left" vertical="center" wrapText="1"/>
      <protection/>
    </xf>
    <xf numFmtId="0" fontId="11" fillId="35" borderId="23" xfId="60" applyFont="1" applyFill="1" applyBorder="1" applyAlignment="1">
      <alignment horizontal="left" vertical="center" wrapText="1"/>
      <protection/>
    </xf>
    <xf numFmtId="0" fontId="14" fillId="35" borderId="0" xfId="60" applyFont="1" applyFill="1" applyBorder="1" applyAlignment="1">
      <alignment horizontal="left" vertical="center"/>
      <protection/>
    </xf>
    <xf numFmtId="0" fontId="11" fillId="0" borderId="132" xfId="60" applyFont="1" applyFill="1" applyBorder="1" applyAlignment="1">
      <alignment horizontal="center" vertical="center" textRotation="90" wrapText="1"/>
      <protection/>
    </xf>
    <xf numFmtId="0" fontId="11" fillId="0" borderId="40" xfId="60" applyFont="1" applyFill="1" applyBorder="1" applyAlignment="1">
      <alignment horizontal="center" vertical="center" textRotation="90" wrapText="1"/>
      <protection/>
    </xf>
    <xf numFmtId="0" fontId="11" fillId="0" borderId="46" xfId="60" applyFont="1" applyFill="1" applyBorder="1" applyAlignment="1">
      <alignment horizontal="center" vertical="center" textRotation="90" wrapText="1"/>
      <protection/>
    </xf>
    <xf numFmtId="0" fontId="11" fillId="0" borderId="49" xfId="60" applyFont="1" applyFill="1" applyBorder="1" applyAlignment="1">
      <alignment horizontal="center" vertical="center" textRotation="90" wrapText="1"/>
      <protection/>
    </xf>
    <xf numFmtId="0" fontId="11" fillId="0" borderId="145" xfId="60" applyFont="1" applyFill="1" applyBorder="1" applyAlignment="1">
      <alignment horizontal="center" vertical="center" wrapText="1"/>
      <protection/>
    </xf>
    <xf numFmtId="0" fontId="11" fillId="0" borderId="37" xfId="60" applyFont="1" applyFill="1" applyBorder="1" applyAlignment="1">
      <alignment horizontal="center" vertical="center" wrapText="1"/>
      <protection/>
    </xf>
    <xf numFmtId="0" fontId="11" fillId="0" borderId="146" xfId="60" applyFont="1" applyFill="1" applyBorder="1" applyAlignment="1">
      <alignment horizontal="center" vertical="center" wrapText="1"/>
      <protection/>
    </xf>
    <xf numFmtId="0" fontId="11" fillId="0" borderId="28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1" fillId="0" borderId="121" xfId="60" applyFont="1" applyFill="1" applyBorder="1" applyAlignment="1">
      <alignment horizontal="center" vertical="center" wrapText="1"/>
      <protection/>
    </xf>
    <xf numFmtId="0" fontId="11" fillId="0" borderId="123" xfId="60" applyFont="1" applyFill="1" applyBorder="1" applyAlignment="1">
      <alignment horizontal="center" vertical="center" wrapText="1"/>
      <protection/>
    </xf>
    <xf numFmtId="0" fontId="11" fillId="0" borderId="126" xfId="60" applyFont="1" applyFill="1" applyBorder="1" applyAlignment="1">
      <alignment horizontal="center" vertical="center" wrapText="1"/>
      <protection/>
    </xf>
    <xf numFmtId="0" fontId="11" fillId="0" borderId="129" xfId="60" applyFont="1" applyFill="1" applyBorder="1" applyAlignment="1">
      <alignment horizontal="center" vertical="center" wrapText="1"/>
      <protection/>
    </xf>
    <xf numFmtId="49" fontId="11" fillId="0" borderId="16" xfId="60" applyNumberFormat="1" applyFont="1" applyFill="1" applyBorder="1" applyAlignment="1">
      <alignment horizontal="center" vertical="center" wrapText="1"/>
      <protection/>
    </xf>
    <xf numFmtId="49" fontId="11" fillId="0" borderId="12" xfId="60" applyNumberFormat="1" applyFont="1" applyFill="1" applyBorder="1" applyAlignment="1">
      <alignment horizontal="center" vertical="center" wrapText="1"/>
      <protection/>
    </xf>
    <xf numFmtId="49" fontId="11" fillId="0" borderId="27" xfId="60" applyNumberFormat="1" applyFont="1" applyFill="1" applyBorder="1" applyAlignment="1">
      <alignment horizontal="center" vertical="center" wrapText="1"/>
      <protection/>
    </xf>
    <xf numFmtId="0" fontId="10" fillId="35" borderId="0" xfId="60" applyFont="1" applyFill="1" applyAlignment="1">
      <alignment horizontal="left" vertical="center" wrapText="1"/>
      <protection/>
    </xf>
    <xf numFmtId="0" fontId="13" fillId="35" borderId="26" xfId="60" applyFont="1" applyFill="1" applyBorder="1" applyAlignment="1">
      <alignment horizontal="center" vertical="center"/>
      <protection/>
    </xf>
    <xf numFmtId="0" fontId="13" fillId="35" borderId="14" xfId="60" applyFont="1" applyFill="1" applyBorder="1" applyAlignment="1">
      <alignment horizontal="center" vertical="center"/>
      <protection/>
    </xf>
    <xf numFmtId="0" fontId="13" fillId="35" borderId="132" xfId="60" applyFont="1" applyFill="1" applyBorder="1" applyAlignment="1">
      <alignment horizontal="center" vertical="center"/>
      <protection/>
    </xf>
    <xf numFmtId="0" fontId="13" fillId="35" borderId="16" xfId="60" applyFont="1" applyFill="1" applyBorder="1" applyAlignment="1">
      <alignment horizontal="center" vertical="center"/>
      <protection/>
    </xf>
    <xf numFmtId="0" fontId="11" fillId="35" borderId="104" xfId="60" applyFont="1" applyFill="1" applyBorder="1" applyAlignment="1">
      <alignment horizontal="left" vertical="center" wrapText="1"/>
      <protection/>
    </xf>
    <xf numFmtId="0" fontId="11" fillId="35" borderId="47" xfId="60" applyFont="1" applyFill="1" applyBorder="1" applyAlignment="1">
      <alignment horizontal="left" vertical="center" wrapText="1"/>
      <protection/>
    </xf>
    <xf numFmtId="0" fontId="11" fillId="35" borderId="114" xfId="60" applyFont="1" applyFill="1" applyBorder="1" applyAlignment="1">
      <alignment horizontal="left" vertical="center" wrapText="1"/>
      <protection/>
    </xf>
    <xf numFmtId="0" fontId="11" fillId="35" borderId="29" xfId="59" applyFont="1" applyFill="1" applyBorder="1" applyAlignment="1">
      <alignment horizontal="left" vertical="center" wrapText="1"/>
      <protection/>
    </xf>
    <xf numFmtId="0" fontId="11" fillId="35" borderId="18" xfId="59" applyFont="1" applyFill="1" applyBorder="1" applyAlignment="1">
      <alignment horizontal="left" vertical="center" wrapText="1"/>
      <protection/>
    </xf>
    <xf numFmtId="0" fontId="11" fillId="35" borderId="147" xfId="59" applyFont="1" applyFill="1" applyBorder="1" applyAlignment="1">
      <alignment horizontal="left" vertical="center" wrapText="1"/>
      <protection/>
    </xf>
    <xf numFmtId="0" fontId="11" fillId="35" borderId="39" xfId="59" applyFont="1" applyFill="1" applyBorder="1" applyAlignment="1">
      <alignment horizontal="left" vertical="center" wrapText="1"/>
      <protection/>
    </xf>
    <xf numFmtId="0" fontId="11" fillId="35" borderId="65" xfId="59" applyFont="1" applyFill="1" applyBorder="1" applyAlignment="1">
      <alignment horizontal="left" vertical="center" wrapText="1"/>
      <protection/>
    </xf>
    <xf numFmtId="0" fontId="28" fillId="0" borderId="45" xfId="0" applyFont="1" applyBorder="1" applyAlignment="1">
      <alignment horizontal="left" vertical="center"/>
    </xf>
    <xf numFmtId="0" fontId="28" fillId="0" borderId="70" xfId="0" applyFont="1" applyBorder="1" applyAlignment="1">
      <alignment horizontal="left" vertical="center"/>
    </xf>
    <xf numFmtId="0" fontId="91" fillId="0" borderId="0" xfId="0" applyFont="1" applyAlignment="1">
      <alignment horizontal="left" vertical="center" wrapText="1"/>
    </xf>
    <xf numFmtId="0" fontId="28" fillId="0" borderId="0" xfId="47" applyFont="1" applyAlignment="1">
      <alignment horizontal="left" vertical="center"/>
      <protection/>
    </xf>
    <xf numFmtId="176" fontId="35" fillId="0" borderId="0" xfId="47" applyNumberFormat="1" applyFont="1" applyAlignment="1">
      <alignment horizontal="left" vertical="center" wrapText="1"/>
      <protection/>
    </xf>
    <xf numFmtId="0" fontId="36" fillId="2" borderId="148" xfId="51" applyFont="1" applyFill="1" applyBorder="1" applyAlignment="1">
      <alignment horizontal="center" vertical="center" wrapText="1"/>
      <protection/>
    </xf>
    <xf numFmtId="0" fontId="36" fillId="2" borderId="125" xfId="51" applyFont="1" applyFill="1" applyBorder="1" applyAlignment="1">
      <alignment horizontal="center" vertical="center" wrapText="1"/>
      <protection/>
    </xf>
    <xf numFmtId="191" fontId="36" fillId="2" borderId="149" xfId="63" applyNumberFormat="1" applyFont="1" applyFill="1" applyBorder="1" applyAlignment="1" applyProtection="1">
      <alignment horizontal="center" vertical="center" wrapText="1"/>
      <protection/>
    </xf>
    <xf numFmtId="191" fontId="36" fillId="2" borderId="150" xfId="63" applyNumberFormat="1" applyFont="1" applyFill="1" applyBorder="1" applyAlignment="1" applyProtection="1">
      <alignment horizontal="center" vertical="center" wrapText="1"/>
      <protection/>
    </xf>
    <xf numFmtId="191" fontId="36" fillId="2" borderId="128" xfId="63" applyNumberFormat="1" applyFont="1" applyFill="1" applyBorder="1" applyAlignment="1" applyProtection="1">
      <alignment horizontal="center" vertical="center" wrapText="1"/>
      <protection/>
    </xf>
    <xf numFmtId="191" fontId="36" fillId="2" borderId="124" xfId="63" applyNumberFormat="1" applyFont="1" applyFill="1" applyBorder="1" applyAlignment="1" applyProtection="1">
      <alignment horizontal="center" vertical="center" wrapText="1"/>
      <protection/>
    </xf>
    <xf numFmtId="191" fontId="36" fillId="7" borderId="149" xfId="63" applyNumberFormat="1" applyFont="1" applyFill="1" applyBorder="1" applyAlignment="1" applyProtection="1">
      <alignment horizontal="center" vertical="center" wrapText="1"/>
      <protection/>
    </xf>
    <xf numFmtId="191" fontId="36" fillId="7" borderId="151" xfId="63" applyNumberFormat="1" applyFont="1" applyFill="1" applyBorder="1" applyAlignment="1" applyProtection="1">
      <alignment horizontal="center" vertical="center" wrapText="1"/>
      <protection/>
    </xf>
    <xf numFmtId="191" fontId="36" fillId="7" borderId="128" xfId="63" applyNumberFormat="1" applyFont="1" applyFill="1" applyBorder="1" applyAlignment="1" applyProtection="1">
      <alignment horizontal="center" vertical="center" wrapText="1"/>
      <protection/>
    </xf>
    <xf numFmtId="191" fontId="36" fillId="7" borderId="129" xfId="63" applyNumberFormat="1" applyFont="1" applyFill="1" applyBorder="1" applyAlignment="1" applyProtection="1">
      <alignment horizontal="center" vertical="center" wrapText="1"/>
      <protection/>
    </xf>
    <xf numFmtId="191" fontId="36" fillId="7" borderId="150" xfId="63" applyNumberFormat="1" applyFont="1" applyFill="1" applyBorder="1" applyAlignment="1" applyProtection="1">
      <alignment horizontal="center" vertical="center" wrapText="1"/>
      <protection/>
    </xf>
    <xf numFmtId="191" fontId="36" fillId="7" borderId="124" xfId="63" applyNumberFormat="1" applyFont="1" applyFill="1" applyBorder="1" applyAlignment="1" applyProtection="1">
      <alignment horizontal="center" vertical="center" wrapText="1"/>
      <protection/>
    </xf>
    <xf numFmtId="0" fontId="36" fillId="0" borderId="145" xfId="51" applyNumberFormat="1" applyFont="1" applyFill="1" applyBorder="1" applyAlignment="1" applyProtection="1">
      <alignment horizontal="center" vertical="center" wrapText="1"/>
      <protection/>
    </xf>
    <xf numFmtId="0" fontId="36" fillId="0" borderId="37" xfId="51" applyNumberFormat="1" applyFont="1" applyFill="1" applyBorder="1" applyAlignment="1" applyProtection="1">
      <alignment horizontal="center" vertical="center" wrapText="1"/>
      <protection/>
    </xf>
    <xf numFmtId="0" fontId="36" fillId="0" borderId="28" xfId="51" applyNumberFormat="1" applyFont="1" applyFill="1" applyBorder="1" applyAlignment="1" applyProtection="1">
      <alignment horizontal="center" vertical="center" wrapText="1"/>
      <protection/>
    </xf>
    <xf numFmtId="0" fontId="36" fillId="0" borderId="0" xfId="51" applyNumberFormat="1" applyFont="1" applyFill="1" applyBorder="1" applyAlignment="1" applyProtection="1">
      <alignment horizontal="center" vertical="center" wrapText="1"/>
      <protection/>
    </xf>
    <xf numFmtId="0" fontId="36" fillId="0" borderId="123" xfId="51" applyNumberFormat="1" applyFont="1" applyFill="1" applyBorder="1" applyAlignment="1" applyProtection="1">
      <alignment horizontal="center" vertical="center" wrapText="1"/>
      <protection/>
    </xf>
    <xf numFmtId="0" fontId="36" fillId="0" borderId="126" xfId="51" applyNumberFormat="1" applyFont="1" applyFill="1" applyBorder="1" applyAlignment="1" applyProtection="1">
      <alignment horizontal="center" vertical="center" wrapText="1"/>
      <protection/>
    </xf>
    <xf numFmtId="191" fontId="37" fillId="4" borderId="104" xfId="63" applyNumberFormat="1" applyFont="1" applyFill="1" applyBorder="1" applyAlignment="1" applyProtection="1">
      <alignment horizontal="center" vertical="center"/>
      <protection/>
    </xf>
    <xf numFmtId="191" fontId="37" fillId="4" borderId="47" xfId="63" applyNumberFormat="1" applyFont="1" applyFill="1" applyBorder="1" applyAlignment="1" applyProtection="1">
      <alignment horizontal="center" vertical="center"/>
      <protection/>
    </xf>
    <xf numFmtId="191" fontId="37" fillId="4" borderId="110" xfId="63" applyNumberFormat="1" applyFont="1" applyFill="1" applyBorder="1" applyAlignment="1" applyProtection="1">
      <alignment horizontal="center" vertical="center"/>
      <protection/>
    </xf>
    <xf numFmtId="191" fontId="36" fillId="2" borderId="47" xfId="63" applyNumberFormat="1" applyFont="1" applyFill="1" applyBorder="1" applyAlignment="1" applyProtection="1">
      <alignment horizontal="center" vertical="center" wrapText="1"/>
      <protection/>
    </xf>
    <xf numFmtId="191" fontId="36" fillId="2" borderId="110" xfId="63" applyNumberFormat="1" applyFont="1" applyFill="1" applyBorder="1" applyAlignment="1" applyProtection="1">
      <alignment horizontal="center" vertical="center" wrapText="1"/>
      <protection/>
    </xf>
    <xf numFmtId="0" fontId="37" fillId="7" borderId="18" xfId="51" applyFont="1" applyFill="1" applyBorder="1" applyAlignment="1">
      <alignment horizontal="center" vertical="center"/>
      <protection/>
    </xf>
    <xf numFmtId="0" fontId="37" fillId="7" borderId="20" xfId="51" applyFont="1" applyFill="1" applyBorder="1" applyAlignment="1">
      <alignment horizontal="center" vertical="center"/>
      <protection/>
    </xf>
    <xf numFmtId="0" fontId="36" fillId="3" borderId="152" xfId="51" applyFont="1" applyFill="1" applyBorder="1" applyAlignment="1">
      <alignment horizontal="center" vertical="center" wrapText="1"/>
      <protection/>
    </xf>
    <xf numFmtId="0" fontId="36" fillId="3" borderId="153" xfId="51" applyFont="1" applyFill="1" applyBorder="1" applyAlignment="1">
      <alignment horizontal="center" vertical="center" wrapText="1"/>
      <protection/>
    </xf>
    <xf numFmtId="0" fontId="36" fillId="3" borderId="154" xfId="51" applyFont="1" applyFill="1" applyBorder="1" applyAlignment="1">
      <alignment horizontal="center" vertical="center" wrapText="1"/>
      <protection/>
    </xf>
    <xf numFmtId="0" fontId="36" fillId="3" borderId="110" xfId="51" applyFont="1" applyFill="1" applyBorder="1" applyAlignment="1">
      <alignment horizontal="center" vertical="center" wrapText="1"/>
      <protection/>
    </xf>
    <xf numFmtId="0" fontId="36" fillId="3" borderId="141" xfId="51" applyFont="1" applyFill="1" applyBorder="1" applyAlignment="1">
      <alignment horizontal="center" vertical="center" wrapText="1"/>
      <protection/>
    </xf>
    <xf numFmtId="0" fontId="36" fillId="3" borderId="131" xfId="51" applyFont="1" applyFill="1" applyBorder="1" applyAlignment="1">
      <alignment horizontal="center" vertical="center" wrapText="1"/>
      <protection/>
    </xf>
    <xf numFmtId="0" fontId="36" fillId="4" borderId="155" xfId="51" applyFont="1" applyFill="1" applyBorder="1" applyAlignment="1">
      <alignment horizontal="center" vertical="center" wrapText="1"/>
      <protection/>
    </xf>
    <xf numFmtId="0" fontId="36" fillId="4" borderId="151" xfId="51" applyFont="1" applyFill="1" applyBorder="1" applyAlignment="1">
      <alignment horizontal="center" vertical="center" wrapText="1"/>
      <protection/>
    </xf>
    <xf numFmtId="0" fontId="36" fillId="4" borderId="123" xfId="51" applyFont="1" applyFill="1" applyBorder="1" applyAlignment="1">
      <alignment horizontal="center" vertical="center" wrapText="1"/>
      <protection/>
    </xf>
    <xf numFmtId="0" fontId="36" fillId="4" borderId="129" xfId="51" applyFont="1" applyFill="1" applyBorder="1" applyAlignment="1">
      <alignment horizontal="center" vertical="center" wrapText="1"/>
      <protection/>
    </xf>
    <xf numFmtId="0" fontId="36" fillId="4" borderId="43" xfId="51" applyFont="1" applyFill="1" applyBorder="1" applyAlignment="1">
      <alignment horizontal="center" vertical="center" wrapText="1"/>
      <protection/>
    </xf>
    <xf numFmtId="0" fontId="36" fillId="4" borderId="50" xfId="51" applyFont="1" applyFill="1" applyBorder="1" applyAlignment="1">
      <alignment horizontal="center" vertical="center" wrapText="1"/>
      <protection/>
    </xf>
    <xf numFmtId="0" fontId="36" fillId="4" borderId="11" xfId="51" applyFont="1" applyFill="1" applyBorder="1" applyAlignment="1">
      <alignment horizontal="center" vertical="center" wrapText="1"/>
      <protection/>
    </xf>
    <xf numFmtId="0" fontId="36" fillId="4" borderId="27" xfId="51" applyFont="1" applyFill="1" applyBorder="1" applyAlignment="1">
      <alignment horizontal="center" vertical="center" wrapText="1"/>
      <protection/>
    </xf>
    <xf numFmtId="0" fontId="36" fillId="4" borderId="143" xfId="51" applyFont="1" applyFill="1" applyBorder="1" applyAlignment="1">
      <alignment horizontal="center" vertical="center" wrapText="1"/>
      <protection/>
    </xf>
    <xf numFmtId="0" fontId="36" fillId="4" borderId="139" xfId="51" applyFont="1" applyFill="1" applyBorder="1" applyAlignment="1">
      <alignment horizontal="center" vertical="center" wrapText="1"/>
      <protection/>
    </xf>
    <xf numFmtId="0" fontId="40" fillId="0" borderId="0" xfId="57" applyFont="1" applyAlignment="1">
      <alignment horizontal="left" vertical="center" wrapText="1"/>
      <protection/>
    </xf>
    <xf numFmtId="0" fontId="0" fillId="0" borderId="45" xfId="57" applyFont="1" applyBorder="1" applyAlignment="1">
      <alignment horizontal="center" vertical="center" wrapText="1"/>
      <protection/>
    </xf>
    <xf numFmtId="0" fontId="0" fillId="0" borderId="35" xfId="57" applyFont="1" applyBorder="1" applyAlignment="1">
      <alignment horizontal="center" vertical="center" wrapText="1"/>
      <protection/>
    </xf>
    <xf numFmtId="0" fontId="0" fillId="0" borderId="105" xfId="57" applyFont="1" applyBorder="1" applyAlignment="1">
      <alignment horizontal="center" vertical="center" wrapText="1"/>
      <protection/>
    </xf>
    <xf numFmtId="0" fontId="91" fillId="0" borderId="104" xfId="57" applyFont="1" applyBorder="1" applyAlignment="1">
      <alignment vertical="center" wrapText="1"/>
      <protection/>
    </xf>
    <xf numFmtId="0" fontId="91" fillId="0" borderId="47" xfId="57" applyFont="1" applyBorder="1" applyAlignment="1">
      <alignment vertical="center" wrapText="1"/>
      <protection/>
    </xf>
    <xf numFmtId="0" fontId="91" fillId="0" borderId="110" xfId="57" applyFont="1" applyBorder="1" applyAlignment="1">
      <alignment vertical="center" wrapText="1"/>
      <protection/>
    </xf>
    <xf numFmtId="0" fontId="91" fillId="0" borderId="156" xfId="57" applyFont="1" applyBorder="1" applyAlignment="1">
      <alignment vertical="center"/>
      <protection/>
    </xf>
    <xf numFmtId="0" fontId="0" fillId="0" borderId="51" xfId="57" applyFont="1" applyBorder="1" applyAlignment="1">
      <alignment vertical="center"/>
      <protection/>
    </xf>
    <xf numFmtId="0" fontId="0" fillId="0" borderId="131" xfId="57" applyFont="1" applyBorder="1" applyAlignment="1">
      <alignment vertical="center"/>
      <protection/>
    </xf>
    <xf numFmtId="0" fontId="0" fillId="0" borderId="104" xfId="57" applyFont="1" applyBorder="1" applyAlignment="1">
      <alignment horizontal="left" vertical="center" wrapText="1"/>
      <protection/>
    </xf>
    <xf numFmtId="0" fontId="0" fillId="0" borderId="47" xfId="57" applyFont="1" applyBorder="1" applyAlignment="1">
      <alignment horizontal="left" vertical="center" wrapText="1"/>
      <protection/>
    </xf>
    <xf numFmtId="0" fontId="0" fillId="0" borderId="110" xfId="57" applyFont="1" applyBorder="1" applyAlignment="1">
      <alignment horizontal="left" vertical="center" wrapText="1"/>
      <protection/>
    </xf>
    <xf numFmtId="0" fontId="0" fillId="0" borderId="123" xfId="57" applyFont="1" applyBorder="1" applyAlignment="1">
      <alignment vertical="center" wrapText="1"/>
      <protection/>
    </xf>
    <xf numFmtId="0" fontId="0" fillId="0" borderId="126" xfId="57" applyFont="1" applyBorder="1" applyAlignment="1">
      <alignment vertical="center" wrapText="1"/>
      <protection/>
    </xf>
    <xf numFmtId="0" fontId="0" fillId="0" borderId="124" xfId="57" applyFont="1" applyBorder="1" applyAlignment="1">
      <alignment vertical="center" wrapText="1"/>
      <protection/>
    </xf>
    <xf numFmtId="0" fontId="0" fillId="0" borderId="0" xfId="47" applyFont="1" applyAlignment="1">
      <alignment horizontal="left" vertical="center"/>
      <protection/>
    </xf>
    <xf numFmtId="3" fontId="0" fillId="0" borderId="0" xfId="47" applyNumberFormat="1" applyFont="1" applyAlignment="1">
      <alignment horizontal="left" vertical="center" wrapText="1"/>
      <protection/>
    </xf>
    <xf numFmtId="3" fontId="42" fillId="0" borderId="16" xfId="47" applyNumberFormat="1" applyFont="1" applyBorder="1" applyAlignment="1">
      <alignment horizontal="center" vertical="center" wrapText="1"/>
      <protection/>
    </xf>
    <xf numFmtId="3" fontId="42" fillId="0" borderId="27" xfId="47" applyNumberFormat="1" applyFont="1" applyBorder="1" applyAlignment="1">
      <alignment horizontal="center" vertical="center" wrapText="1"/>
      <protection/>
    </xf>
    <xf numFmtId="4" fontId="42" fillId="0" borderId="16" xfId="47" applyNumberFormat="1" applyFont="1" applyBorder="1" applyAlignment="1">
      <alignment horizontal="center" vertical="center" wrapText="1"/>
      <protection/>
    </xf>
    <xf numFmtId="4" fontId="42" fillId="0" borderId="27" xfId="47" applyNumberFormat="1" applyFont="1" applyBorder="1" applyAlignment="1">
      <alignment horizontal="center" vertical="center" wrapText="1"/>
      <protection/>
    </xf>
    <xf numFmtId="0" fontId="42" fillId="0" borderId="16" xfId="47" applyFont="1" applyBorder="1" applyAlignment="1">
      <alignment horizontal="center" vertical="center" wrapText="1"/>
      <protection/>
    </xf>
    <xf numFmtId="0" fontId="42" fillId="0" borderId="27" xfId="47" applyFont="1" applyBorder="1" applyAlignment="1">
      <alignment horizontal="center" vertical="center" wrapText="1"/>
      <protection/>
    </xf>
    <xf numFmtId="0" fontId="42" fillId="0" borderId="46" xfId="47" applyFont="1" applyBorder="1" applyAlignment="1">
      <alignment horizontal="center" vertical="center" wrapText="1"/>
      <protection/>
    </xf>
    <xf numFmtId="0" fontId="42" fillId="0" borderId="50" xfId="47" applyFont="1" applyBorder="1" applyAlignment="1">
      <alignment horizontal="center" vertical="center" wrapText="1"/>
      <protection/>
    </xf>
    <xf numFmtId="3" fontId="42" fillId="0" borderId="133" xfId="47" applyNumberFormat="1" applyFont="1" applyFill="1" applyBorder="1" applyAlignment="1">
      <alignment horizontal="center" vertical="center" wrapText="1"/>
      <protection/>
    </xf>
    <xf numFmtId="3" fontId="42" fillId="0" borderId="138" xfId="47" applyNumberFormat="1" applyFont="1" applyFill="1" applyBorder="1" applyAlignment="1">
      <alignment horizontal="center" vertical="center" wrapText="1"/>
      <protection/>
    </xf>
    <xf numFmtId="0" fontId="41" fillId="0" borderId="0" xfId="47" applyFont="1" applyAlignment="1">
      <alignment vertical="center"/>
      <protection/>
    </xf>
    <xf numFmtId="0" fontId="0" fillId="0" borderId="0" xfId="47" applyFont="1" applyAlignment="1">
      <alignment horizontal="left" vertical="center" wrapText="1"/>
      <protection/>
    </xf>
    <xf numFmtId="0" fontId="42" fillId="0" borderId="132" xfId="47" applyFont="1" applyBorder="1" applyAlignment="1">
      <alignment horizontal="center" vertical="center" wrapText="1"/>
      <protection/>
    </xf>
    <xf numFmtId="0" fontId="42" fillId="0" borderId="40" xfId="47" applyFont="1" applyBorder="1" applyAlignment="1">
      <alignment horizontal="center" vertical="center" wrapText="1"/>
      <protection/>
    </xf>
    <xf numFmtId="0" fontId="42" fillId="0" borderId="32" xfId="47" applyFont="1" applyBorder="1" applyAlignment="1">
      <alignment horizontal="center" vertical="center" wrapText="1"/>
      <protection/>
    </xf>
    <xf numFmtId="0" fontId="11" fillId="0" borderId="35" xfId="47" applyFont="1" applyBorder="1" applyAlignment="1">
      <alignment horizontal="center" vertical="center"/>
      <protection/>
    </xf>
    <xf numFmtId="0" fontId="11" fillId="0" borderId="37" xfId="47" applyFont="1" applyBorder="1" applyAlignment="1">
      <alignment horizontal="center" vertical="center"/>
      <protection/>
    </xf>
    <xf numFmtId="0" fontId="11" fillId="0" borderId="105" xfId="47" applyFont="1" applyBorder="1" applyAlignment="1">
      <alignment horizontal="center" vertical="center"/>
      <protection/>
    </xf>
    <xf numFmtId="3" fontId="42" fillId="0" borderId="146" xfId="47" applyNumberFormat="1" applyFont="1" applyBorder="1" applyAlignment="1">
      <alignment horizontal="center" vertical="center" wrapText="1"/>
      <protection/>
    </xf>
    <xf numFmtId="3" fontId="42" fillId="0" borderId="129" xfId="47" applyNumberFormat="1" applyFont="1" applyBorder="1" applyAlignment="1">
      <alignment horizontal="center" vertical="center" wrapText="1"/>
      <protection/>
    </xf>
    <xf numFmtId="3" fontId="42" fillId="0" borderId="142" xfId="47" applyNumberFormat="1" applyFont="1" applyFill="1" applyBorder="1" applyAlignment="1">
      <alignment horizontal="center" vertical="center" wrapText="1"/>
      <protection/>
    </xf>
    <xf numFmtId="3" fontId="42" fillId="0" borderId="143" xfId="47" applyNumberFormat="1" applyFont="1" applyFill="1" applyBorder="1" applyAlignment="1">
      <alignment horizontal="center" vertical="center" wrapText="1"/>
      <protection/>
    </xf>
    <xf numFmtId="0" fontId="40" fillId="0" borderId="0" xfId="58" applyFont="1" applyAlignment="1">
      <alignment horizontal="left" vertical="center" wrapText="1"/>
      <protection/>
    </xf>
    <xf numFmtId="0" fontId="46" fillId="0" borderId="0" xfId="58" applyFont="1" applyAlignment="1">
      <alignment horizontal="left" vertical="center" wrapText="1"/>
      <protection/>
    </xf>
    <xf numFmtId="0" fontId="42" fillId="0" borderId="134" xfId="47" applyFont="1" applyBorder="1" applyAlignment="1">
      <alignment horizontal="center" vertical="center" wrapText="1"/>
      <protection/>
    </xf>
    <xf numFmtId="0" fontId="42" fillId="0" borderId="135" xfId="47" applyFont="1" applyBorder="1" applyAlignment="1">
      <alignment horizontal="center" vertical="center" wrapText="1"/>
      <protection/>
    </xf>
    <xf numFmtId="0" fontId="42" fillId="0" borderId="136" xfId="47" applyFont="1" applyBorder="1" applyAlignment="1">
      <alignment horizontal="center" vertical="center" wrapText="1"/>
      <protection/>
    </xf>
    <xf numFmtId="0" fontId="11" fillId="0" borderId="26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11" fillId="0" borderId="52" xfId="47" applyFont="1" applyBorder="1" applyAlignment="1">
      <alignment horizontal="center" vertical="center"/>
      <protection/>
    </xf>
    <xf numFmtId="3" fontId="42" fillId="0" borderId="157" xfId="47" applyNumberFormat="1" applyFont="1" applyBorder="1" applyAlignment="1">
      <alignment horizontal="center" vertical="center" wrapText="1"/>
      <protection/>
    </xf>
    <xf numFmtId="3" fontId="42" fillId="0" borderId="151" xfId="47" applyNumberFormat="1" applyFont="1" applyBorder="1" applyAlignment="1">
      <alignment horizontal="center" vertical="center" wrapText="1"/>
      <protection/>
    </xf>
    <xf numFmtId="3" fontId="42" fillId="0" borderId="13" xfId="47" applyNumberFormat="1" applyFont="1" applyBorder="1" applyAlignment="1">
      <alignment horizontal="center" vertical="center" wrapText="1"/>
      <protection/>
    </xf>
    <xf numFmtId="3" fontId="42" fillId="0" borderId="11" xfId="47" applyNumberFormat="1" applyFont="1" applyBorder="1" applyAlignment="1">
      <alignment horizontal="center" vertical="center" wrapText="1"/>
      <protection/>
    </xf>
    <xf numFmtId="0" fontId="42" fillId="0" borderId="13" xfId="47" applyFont="1" applyBorder="1" applyAlignment="1">
      <alignment horizontal="center" vertical="center" wrapText="1"/>
      <protection/>
    </xf>
    <xf numFmtId="0" fontId="42" fillId="0" borderId="11" xfId="47" applyFont="1" applyBorder="1" applyAlignment="1">
      <alignment horizontal="center" vertical="center" wrapText="1"/>
      <protection/>
    </xf>
    <xf numFmtId="3" fontId="42" fillId="0" borderId="21" xfId="47" applyNumberFormat="1" applyFont="1" applyBorder="1" applyAlignment="1">
      <alignment horizontal="center" vertical="center" wrapText="1"/>
      <protection/>
    </xf>
    <xf numFmtId="3" fontId="42" fillId="0" borderId="43" xfId="47" applyNumberFormat="1" applyFont="1" applyBorder="1" applyAlignment="1">
      <alignment horizontal="center" vertical="center" wrapText="1"/>
      <protection/>
    </xf>
    <xf numFmtId="3" fontId="42" fillId="0" borderId="134" xfId="47" applyNumberFormat="1" applyFont="1" applyFill="1" applyBorder="1" applyAlignment="1">
      <alignment horizontal="center" vertical="center" wrapText="1"/>
      <protection/>
    </xf>
    <xf numFmtId="3" fontId="42" fillId="0" borderId="136" xfId="47" applyNumberFormat="1" applyFont="1" applyFill="1" applyBorder="1" applyAlignment="1">
      <alignment horizontal="center" vertical="center" wrapText="1"/>
      <protection/>
    </xf>
    <xf numFmtId="3" fontId="42" fillId="0" borderId="157" xfId="47" applyNumberFormat="1" applyFont="1" applyFill="1" applyBorder="1" applyAlignment="1">
      <alignment horizontal="center" vertical="center" wrapText="1"/>
      <protection/>
    </xf>
    <xf numFmtId="3" fontId="42" fillId="0" borderId="151" xfId="47" applyNumberFormat="1" applyFont="1" applyFill="1" applyBorder="1" applyAlignment="1">
      <alignment horizontal="center" vertical="center" wrapText="1"/>
      <protection/>
    </xf>
    <xf numFmtId="0" fontId="47" fillId="0" borderId="0" xfId="47" applyFont="1" applyAlignment="1">
      <alignment horizontal="center" vertical="center"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2 2" xfId="49"/>
    <cellStyle name="normální 2 3" xfId="50"/>
    <cellStyle name="normální 2 5" xfId="51"/>
    <cellStyle name="normální 3" xfId="52"/>
    <cellStyle name="normální 3 2" xfId="53"/>
    <cellStyle name="normální 4" xfId="54"/>
    <cellStyle name="Normální 5" xfId="55"/>
    <cellStyle name="normální_MF-03-příloha 4 - SR 2009(19  8  2008)" xfId="56"/>
    <cellStyle name="normální_Počty financovaných studentů 1998-2006" xfId="57"/>
    <cellStyle name="normální_Přehled poskyt. prostředků VŠ-rozpočet 2000-2006" xfId="58"/>
    <cellStyle name="normální_Tab.1-bilance PV" xfId="59"/>
    <cellStyle name="normální_Tabulka 1-Bilanční-návrh 13.1.04" xfId="60"/>
    <cellStyle name="Poznámka" xfId="61"/>
    <cellStyle name="Percent" xfId="62"/>
    <cellStyle name="procent 2" xfId="63"/>
    <cellStyle name="Procenta 2" xfId="64"/>
    <cellStyle name="Procenta 2 2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4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5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6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1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2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3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4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7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8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9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0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1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2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2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3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4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5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6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7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8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9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10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11" descr="b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09575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18</xdr:row>
      <xdr:rowOff>0</xdr:rowOff>
    </xdr:from>
    <xdr:to>
      <xdr:col>7</xdr:col>
      <xdr:colOff>352425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87705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096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0</xdr:rowOff>
    </xdr:from>
    <xdr:to>
      <xdr:col>5</xdr:col>
      <xdr:colOff>342900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24827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18</xdr:row>
      <xdr:rowOff>0</xdr:rowOff>
    </xdr:from>
    <xdr:to>
      <xdr:col>3</xdr:col>
      <xdr:colOff>409575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6957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18</xdr:row>
      <xdr:rowOff>0</xdr:rowOff>
    </xdr:from>
    <xdr:to>
      <xdr:col>5</xdr:col>
      <xdr:colOff>352425</xdr:colOff>
      <xdr:row>18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52578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" name="Line 1"/>
        <xdr:cNvSpPr>
          <a:spLocks/>
        </xdr:cNvSpPr>
      </xdr:nvSpPr>
      <xdr:spPr>
        <a:xfrm flipH="1" flipV="1">
          <a:off x="409575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18</xdr:row>
      <xdr:rowOff>0</xdr:rowOff>
    </xdr:from>
    <xdr:to>
      <xdr:col>7</xdr:col>
      <xdr:colOff>352425</xdr:colOff>
      <xdr:row>18</xdr:row>
      <xdr:rowOff>0</xdr:rowOff>
    </xdr:to>
    <xdr:sp>
      <xdr:nvSpPr>
        <xdr:cNvPr id="8" name="Line 2"/>
        <xdr:cNvSpPr>
          <a:spLocks/>
        </xdr:cNvSpPr>
      </xdr:nvSpPr>
      <xdr:spPr>
        <a:xfrm flipV="1">
          <a:off x="687705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9" name="Line 3"/>
        <xdr:cNvSpPr>
          <a:spLocks/>
        </xdr:cNvSpPr>
      </xdr:nvSpPr>
      <xdr:spPr>
        <a:xfrm flipV="1">
          <a:off x="6096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0</xdr:rowOff>
    </xdr:from>
    <xdr:to>
      <xdr:col>5</xdr:col>
      <xdr:colOff>342900</xdr:colOff>
      <xdr:row>18</xdr:row>
      <xdr:rowOff>0</xdr:rowOff>
    </xdr:to>
    <xdr:sp>
      <xdr:nvSpPr>
        <xdr:cNvPr id="10" name="Line 4"/>
        <xdr:cNvSpPr>
          <a:spLocks/>
        </xdr:cNvSpPr>
      </xdr:nvSpPr>
      <xdr:spPr>
        <a:xfrm flipV="1">
          <a:off x="524827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18</xdr:row>
      <xdr:rowOff>0</xdr:rowOff>
    </xdr:from>
    <xdr:to>
      <xdr:col>3</xdr:col>
      <xdr:colOff>409575</xdr:colOff>
      <xdr:row>18</xdr:row>
      <xdr:rowOff>0</xdr:rowOff>
    </xdr:to>
    <xdr:sp>
      <xdr:nvSpPr>
        <xdr:cNvPr id="11" name="Line 5"/>
        <xdr:cNvSpPr>
          <a:spLocks/>
        </xdr:cNvSpPr>
      </xdr:nvSpPr>
      <xdr:spPr>
        <a:xfrm flipV="1">
          <a:off x="36957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18</xdr:row>
      <xdr:rowOff>0</xdr:rowOff>
    </xdr:from>
    <xdr:to>
      <xdr:col>5</xdr:col>
      <xdr:colOff>352425</xdr:colOff>
      <xdr:row>18</xdr:row>
      <xdr:rowOff>0</xdr:rowOff>
    </xdr:to>
    <xdr:sp>
      <xdr:nvSpPr>
        <xdr:cNvPr id="12" name="Line 9"/>
        <xdr:cNvSpPr>
          <a:spLocks/>
        </xdr:cNvSpPr>
      </xdr:nvSpPr>
      <xdr:spPr>
        <a:xfrm flipH="1" flipV="1">
          <a:off x="52578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bor_15\Finkov&#225;\2012\Kniha%202012\Podklady%20tabulky\Rozpis%20rozpo&#269;tu%20V&#352;%202012_barevn&#225;%20kni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1_Bilance"/>
      <sheetName val="Tab.2 Rozpis ukazatelů"/>
      <sheetName val="Tab.3_A"/>
      <sheetName val="Tab.4_K"/>
      <sheetName val="Tab. 5_počty&quot;financ.&quot; studentů"/>
      <sheetName val="Tab.6_skut 2000-2011"/>
      <sheetName val="Tab. 7 schvál 2000-12"/>
      <sheetName val="Tab. 8 zkratky VVŠ"/>
      <sheetName val="List1"/>
    </sheetNames>
    <sheetDataSet>
      <sheetData sheetId="0">
        <row r="16">
          <cell r="L16">
            <v>12382584</v>
          </cell>
        </row>
        <row r="19">
          <cell r="L19">
            <v>15478230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zoomScale="90" zoomScaleNormal="90" workbookViewId="0" topLeftCell="A1">
      <selection activeCell="A16" sqref="A16"/>
    </sheetView>
  </sheetViews>
  <sheetFormatPr defaultColWidth="9.140625" defaultRowHeight="12.75"/>
  <cols>
    <col min="1" max="1" width="74.421875" style="5" customWidth="1"/>
    <col min="2" max="2" width="14.57421875" style="5" bestFit="1" customWidth="1"/>
    <col min="3" max="4" width="8.57421875" style="5" bestFit="1" customWidth="1"/>
    <col min="5" max="5" width="11.00390625" style="5" bestFit="1" customWidth="1"/>
    <col min="6" max="6" width="8.8515625" style="5" bestFit="1" customWidth="1"/>
    <col min="7" max="7" width="12.8515625" style="5" bestFit="1" customWidth="1"/>
    <col min="8" max="10" width="8.8515625" style="5" bestFit="1" customWidth="1"/>
    <col min="11" max="11" width="12.7109375" style="5" bestFit="1" customWidth="1"/>
    <col min="12" max="12" width="10.8515625" style="5" bestFit="1" customWidth="1"/>
    <col min="13" max="13" width="9.421875" style="5" bestFit="1" customWidth="1"/>
    <col min="14" max="14" width="9.8515625" style="5" bestFit="1" customWidth="1"/>
    <col min="15" max="15" width="10.57421875" style="5" bestFit="1" customWidth="1"/>
    <col min="16" max="16" width="12.140625" style="5" bestFit="1" customWidth="1"/>
    <col min="17" max="18" width="10.8515625" style="5" bestFit="1" customWidth="1"/>
    <col min="19" max="16384" width="9.140625" style="5" customWidth="1"/>
  </cols>
  <sheetData>
    <row r="1" spans="1:14" ht="18">
      <c r="A1" s="6" t="s">
        <v>31</v>
      </c>
      <c r="N1" s="7"/>
    </row>
    <row r="2" ht="15">
      <c r="A2" s="8" t="s">
        <v>1</v>
      </c>
    </row>
    <row r="4" ht="15">
      <c r="A4" s="8"/>
    </row>
    <row r="5" spans="1:12" ht="122.25" customHeight="1">
      <c r="A5" s="18" t="s">
        <v>10</v>
      </c>
      <c r="B5" s="19"/>
      <c r="C5" s="9" t="s">
        <v>15</v>
      </c>
      <c r="D5" s="9" t="s">
        <v>16</v>
      </c>
      <c r="E5" s="9" t="s">
        <v>17</v>
      </c>
      <c r="F5" s="20"/>
      <c r="G5" s="19"/>
      <c r="H5" s="9" t="s">
        <v>18</v>
      </c>
      <c r="I5" s="9" t="s">
        <v>19</v>
      </c>
      <c r="J5" s="20"/>
      <c r="K5" s="20"/>
      <c r="L5" s="19"/>
    </row>
    <row r="6" spans="1:12" ht="12.75">
      <c r="A6" s="21"/>
      <c r="B6" s="22" t="s">
        <v>20</v>
      </c>
      <c r="C6" s="16"/>
      <c r="D6" s="16"/>
      <c r="E6" s="16"/>
      <c r="F6" s="23" t="s">
        <v>21</v>
      </c>
      <c r="G6" s="22" t="s">
        <v>11</v>
      </c>
      <c r="H6" s="16"/>
      <c r="I6" s="16"/>
      <c r="J6" s="23" t="s">
        <v>21</v>
      </c>
      <c r="K6" s="23" t="s">
        <v>0</v>
      </c>
      <c r="L6" s="34" t="s">
        <v>13</v>
      </c>
    </row>
    <row r="7" spans="1:12" ht="12.75">
      <c r="A7" s="21"/>
      <c r="B7" s="24" t="s">
        <v>22</v>
      </c>
      <c r="C7" s="17" t="s">
        <v>23</v>
      </c>
      <c r="D7" s="17" t="s">
        <v>24</v>
      </c>
      <c r="E7" s="17" t="s">
        <v>25</v>
      </c>
      <c r="F7" s="25" t="s">
        <v>7</v>
      </c>
      <c r="G7" s="24" t="s">
        <v>8</v>
      </c>
      <c r="H7" s="17" t="s">
        <v>26</v>
      </c>
      <c r="I7" s="17" t="s">
        <v>27</v>
      </c>
      <c r="J7" s="25" t="s">
        <v>28</v>
      </c>
      <c r="K7" s="25" t="s">
        <v>2</v>
      </c>
      <c r="L7" s="35" t="s">
        <v>14</v>
      </c>
    </row>
    <row r="8" spans="1:12" ht="12.75">
      <c r="A8" s="26"/>
      <c r="B8" s="27"/>
      <c r="C8" s="28"/>
      <c r="D8" s="28"/>
      <c r="E8" s="28"/>
      <c r="F8" s="29" t="s">
        <v>9</v>
      </c>
      <c r="G8" s="27" t="s">
        <v>29</v>
      </c>
      <c r="H8" s="28"/>
      <c r="I8" s="28"/>
      <c r="J8" s="29">
        <v>2012</v>
      </c>
      <c r="K8" s="29" t="s">
        <v>30</v>
      </c>
      <c r="L8" s="27">
        <v>2012</v>
      </c>
    </row>
    <row r="9" spans="1:12" ht="15">
      <c r="A9" s="30" t="s">
        <v>3</v>
      </c>
      <c r="B9" s="30"/>
      <c r="C9" s="30"/>
      <c r="D9" s="30"/>
      <c r="E9" s="30"/>
      <c r="F9" s="31"/>
      <c r="G9" s="30"/>
      <c r="H9" s="30"/>
      <c r="I9" s="30"/>
      <c r="J9" s="31"/>
      <c r="K9" s="31"/>
      <c r="L9" s="30"/>
    </row>
    <row r="10" spans="1:12" ht="12.75">
      <c r="A10" s="32" t="s">
        <v>4</v>
      </c>
      <c r="B10" s="33">
        <v>22423938</v>
      </c>
      <c r="C10" s="32">
        <v>525733</v>
      </c>
      <c r="D10" s="32">
        <v>-56857</v>
      </c>
      <c r="E10" s="32">
        <v>-1000000</v>
      </c>
      <c r="F10" s="32">
        <v>-531124</v>
      </c>
      <c r="G10" s="33">
        <v>21892814</v>
      </c>
      <c r="H10" s="32">
        <v>-221012</v>
      </c>
      <c r="I10" s="32">
        <v>-450000</v>
      </c>
      <c r="J10" s="32">
        <v>-671012</v>
      </c>
      <c r="K10" s="32">
        <v>-1202136</v>
      </c>
      <c r="L10" s="33">
        <v>21221802</v>
      </c>
    </row>
    <row r="11" spans="1:12" ht="15">
      <c r="A11" s="11" t="s">
        <v>5</v>
      </c>
      <c r="B11" s="10"/>
      <c r="C11" s="11"/>
      <c r="D11" s="11"/>
      <c r="E11" s="11"/>
      <c r="F11" s="11"/>
      <c r="G11" s="10"/>
      <c r="H11" s="11"/>
      <c r="I11" s="11"/>
      <c r="J11" s="11"/>
      <c r="K11" s="11"/>
      <c r="L11" s="10"/>
    </row>
    <row r="12" spans="1:12" ht="12.75">
      <c r="A12" s="36" t="s">
        <v>32</v>
      </c>
      <c r="B12" s="33">
        <v>22423938</v>
      </c>
      <c r="C12" s="12">
        <v>525733</v>
      </c>
      <c r="D12" s="12">
        <v>-56857</v>
      </c>
      <c r="E12" s="12">
        <v>-1000000</v>
      </c>
      <c r="F12" s="32">
        <v>-531124</v>
      </c>
      <c r="G12" s="33">
        <v>21892814</v>
      </c>
      <c r="H12" s="12">
        <v>-221012</v>
      </c>
      <c r="I12" s="12">
        <v>-450000</v>
      </c>
      <c r="J12" s="32">
        <v>-671012</v>
      </c>
      <c r="K12" s="32">
        <v>-1202136</v>
      </c>
      <c r="L12" s="33">
        <v>21221802</v>
      </c>
    </row>
    <row r="13" spans="1:12" ht="15">
      <c r="A13" s="10" t="s">
        <v>6</v>
      </c>
      <c r="B13" s="10"/>
      <c r="C13" s="10"/>
      <c r="D13" s="10"/>
      <c r="E13" s="10"/>
      <c r="F13" s="11"/>
      <c r="G13" s="10"/>
      <c r="H13" s="10"/>
      <c r="I13" s="10"/>
      <c r="J13" s="11"/>
      <c r="K13" s="11"/>
      <c r="L13" s="10"/>
    </row>
    <row r="14" spans="1:12" ht="12.75">
      <c r="A14" s="36" t="s">
        <v>33</v>
      </c>
      <c r="B14" s="33">
        <v>19558073</v>
      </c>
      <c r="C14" s="12">
        <v>525733</v>
      </c>
      <c r="D14" s="12">
        <v>-56857</v>
      </c>
      <c r="E14" s="12">
        <v>-1000000</v>
      </c>
      <c r="F14" s="32">
        <v>-531124</v>
      </c>
      <c r="G14" s="33">
        <v>19026949</v>
      </c>
      <c r="H14" s="12">
        <v>-293085</v>
      </c>
      <c r="I14" s="12">
        <v>-450000</v>
      </c>
      <c r="J14" s="32">
        <v>-743085</v>
      </c>
      <c r="K14" s="32">
        <v>-1274209</v>
      </c>
      <c r="L14" s="33">
        <v>18283864</v>
      </c>
    </row>
    <row r="15" spans="1:12" ht="12.75">
      <c r="A15" s="36" t="s">
        <v>12</v>
      </c>
      <c r="B15" s="33">
        <v>2263030</v>
      </c>
      <c r="C15" s="12"/>
      <c r="D15" s="12"/>
      <c r="E15" s="12"/>
      <c r="F15" s="32">
        <v>0</v>
      </c>
      <c r="G15" s="33">
        <v>2263030</v>
      </c>
      <c r="H15" s="12">
        <v>100000</v>
      </c>
      <c r="I15" s="12"/>
      <c r="J15" s="32">
        <v>100000</v>
      </c>
      <c r="K15" s="32">
        <v>100000</v>
      </c>
      <c r="L15" s="33">
        <v>2363030</v>
      </c>
    </row>
  </sheetData>
  <sheetProtection/>
  <printOptions horizontalCentered="1"/>
  <pageMargins left="0.5905511811023623" right="0.5905511811023623" top="0.984251968503937" bottom="0.2755905511811024" header="0.7086614173228347" footer="0.1968503937007874"/>
  <pageSetup fitToHeight="1" fitToWidth="1" horizontalDpi="600" verticalDpi="600" orientation="landscape" paperSize="9" scale="72" r:id="rId1"/>
  <headerFooter alignWithMargins="0">
    <oddHeader>&amp;R&amp;"Arial,Kurzíva"&amp;12Kapitola B.3.I.1&amp;"Arial,Obyčejné"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70" zoomScaleNormal="70" workbookViewId="0" topLeftCell="A1">
      <selection activeCell="S16" sqref="S16:T16"/>
    </sheetView>
  </sheetViews>
  <sheetFormatPr defaultColWidth="9.140625" defaultRowHeight="12.75"/>
  <cols>
    <col min="1" max="2" width="4.8515625" style="167" bestFit="1" customWidth="1"/>
    <col min="3" max="3" width="7.28125" style="167" customWidth="1"/>
    <col min="4" max="4" width="23.28125" style="167" customWidth="1"/>
    <col min="5" max="5" width="13.421875" style="167" customWidth="1"/>
    <col min="6" max="6" width="14.00390625" style="167" customWidth="1"/>
    <col min="7" max="7" width="13.7109375" style="167" customWidth="1"/>
    <col min="8" max="8" width="14.00390625" style="167" customWidth="1"/>
    <col min="9" max="9" width="16.00390625" style="167" customWidth="1"/>
    <col min="10" max="10" width="13.7109375" style="167" customWidth="1"/>
    <col min="11" max="11" width="14.00390625" style="167" customWidth="1"/>
    <col min="12" max="12" width="15.28125" style="168" customWidth="1"/>
    <col min="13" max="13" width="13.57421875" style="167" customWidth="1"/>
    <col min="14" max="14" width="13.8515625" style="169" customWidth="1"/>
    <col min="15" max="16" width="9.140625" style="4" customWidth="1"/>
    <col min="17" max="17" width="9.140625" style="14" customWidth="1"/>
    <col min="18" max="18" width="9.140625" style="13" customWidth="1"/>
    <col min="19" max="19" width="9.140625" style="15" customWidth="1"/>
    <col min="20" max="16384" width="9.140625" style="4" customWidth="1"/>
  </cols>
  <sheetData>
    <row r="1" spans="1:14" ht="30.75" customHeight="1">
      <c r="A1" s="654" t="s">
        <v>34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</row>
    <row r="2" spans="1:14" ht="15">
      <c r="A2" s="37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 thickBot="1">
      <c r="A3" s="39"/>
      <c r="B3" s="39"/>
      <c r="C3" s="38"/>
      <c r="D3" s="38"/>
      <c r="E3" s="38"/>
      <c r="F3" s="38"/>
      <c r="G3" s="38"/>
      <c r="H3" s="38"/>
      <c r="I3" s="38"/>
      <c r="J3" s="40"/>
      <c r="K3" s="40"/>
      <c r="L3" s="41"/>
      <c r="M3" s="40"/>
      <c r="N3" s="42"/>
    </row>
    <row r="4" spans="1:14" ht="32.25" thickBot="1">
      <c r="A4" s="655" t="s">
        <v>36</v>
      </c>
      <c r="B4" s="656"/>
      <c r="C4" s="656"/>
      <c r="D4" s="656"/>
      <c r="E4" s="43" t="s">
        <v>37</v>
      </c>
      <c r="F4" s="44" t="s">
        <v>38</v>
      </c>
      <c r="G4" s="45" t="s">
        <v>39</v>
      </c>
      <c r="H4" s="46" t="s">
        <v>40</v>
      </c>
      <c r="I4" s="657" t="s">
        <v>36</v>
      </c>
      <c r="J4" s="658"/>
      <c r="K4" s="47" t="s">
        <v>37</v>
      </c>
      <c r="L4" s="47" t="s">
        <v>38</v>
      </c>
      <c r="M4" s="48" t="s">
        <v>41</v>
      </c>
      <c r="N4" s="49" t="s">
        <v>42</v>
      </c>
    </row>
    <row r="5" spans="1:14" ht="38.25" customHeight="1">
      <c r="A5" s="659" t="s">
        <v>43</v>
      </c>
      <c r="B5" s="660"/>
      <c r="C5" s="660"/>
      <c r="D5" s="661"/>
      <c r="E5" s="50">
        <v>34770</v>
      </c>
      <c r="F5" s="50">
        <v>33012.209190902606</v>
      </c>
      <c r="G5" s="51">
        <v>30546.478380440745</v>
      </c>
      <c r="H5" s="52">
        <v>-0.07469148145169757</v>
      </c>
      <c r="I5" s="662" t="s">
        <v>44</v>
      </c>
      <c r="J5" s="663"/>
      <c r="K5" s="53">
        <v>93380</v>
      </c>
      <c r="L5" s="50">
        <v>89429</v>
      </c>
      <c r="M5" s="50">
        <v>83041.32025274361</v>
      </c>
      <c r="N5" s="54">
        <v>-0.07142738649941738</v>
      </c>
    </row>
    <row r="6" spans="1:14" ht="33" customHeight="1">
      <c r="A6" s="664" t="s">
        <v>45</v>
      </c>
      <c r="B6" s="665"/>
      <c r="C6" s="665"/>
      <c r="D6" s="666"/>
      <c r="E6" s="55">
        <v>29554</v>
      </c>
      <c r="F6" s="55">
        <v>26428.29909612293</v>
      </c>
      <c r="G6" s="56">
        <v>24437.1827043526</v>
      </c>
      <c r="H6" s="57">
        <v>-0.07534031549016451</v>
      </c>
      <c r="I6" s="631" t="s">
        <v>46</v>
      </c>
      <c r="J6" s="632"/>
      <c r="K6" s="58">
        <v>6250</v>
      </c>
      <c r="L6" s="58">
        <v>5800</v>
      </c>
      <c r="M6" s="58">
        <v>5367.246073263169</v>
      </c>
      <c r="N6" s="59">
        <v>-0.07461274598910883</v>
      </c>
    </row>
    <row r="7" spans="1:14" ht="33" customHeight="1" thickBot="1">
      <c r="A7" s="629" t="s">
        <v>47</v>
      </c>
      <c r="B7" s="630"/>
      <c r="C7" s="630"/>
      <c r="D7" s="630"/>
      <c r="E7" s="60">
        <v>8690</v>
      </c>
      <c r="F7" s="60">
        <v>15253.994069753577</v>
      </c>
      <c r="G7" s="61" t="s">
        <v>48</v>
      </c>
      <c r="H7" s="62"/>
      <c r="I7" s="631" t="s">
        <v>49</v>
      </c>
      <c r="J7" s="632"/>
      <c r="K7" s="58">
        <v>1620</v>
      </c>
      <c r="L7" s="58">
        <v>1620</v>
      </c>
      <c r="M7" s="58">
        <v>1620</v>
      </c>
      <c r="N7" s="59">
        <v>0</v>
      </c>
    </row>
    <row r="8" spans="1:14" ht="33.75" customHeight="1" thickBot="1">
      <c r="A8" s="633"/>
      <c r="B8" s="633"/>
      <c r="C8" s="633"/>
      <c r="D8" s="633"/>
      <c r="E8" s="633"/>
      <c r="F8" s="633"/>
      <c r="G8" s="633"/>
      <c r="H8" s="634"/>
      <c r="I8" s="635" t="s">
        <v>50</v>
      </c>
      <c r="J8" s="636"/>
      <c r="K8" s="63">
        <v>21.25</v>
      </c>
      <c r="L8" s="63">
        <v>19.3995</v>
      </c>
      <c r="M8" s="63">
        <v>17.945548316979806</v>
      </c>
      <c r="N8" s="64">
        <v>-0.07494789468904839</v>
      </c>
    </row>
    <row r="9" spans="1:14" ht="15.75" thickBot="1">
      <c r="A9" s="637"/>
      <c r="B9" s="637"/>
      <c r="C9" s="637"/>
      <c r="D9" s="637"/>
      <c r="E9" s="637"/>
      <c r="F9" s="637"/>
      <c r="G9" s="637"/>
      <c r="H9" s="637"/>
      <c r="I9" s="637"/>
      <c r="J9" s="65"/>
      <c r="K9" s="65"/>
      <c r="L9" s="65"/>
      <c r="M9" s="65"/>
      <c r="N9" s="65"/>
    </row>
    <row r="10" spans="1:14" ht="20.25" customHeight="1">
      <c r="A10" s="638" t="s">
        <v>51</v>
      </c>
      <c r="B10" s="640" t="s">
        <v>52</v>
      </c>
      <c r="C10" s="642" t="s">
        <v>53</v>
      </c>
      <c r="D10" s="643"/>
      <c r="E10" s="643"/>
      <c r="F10" s="643"/>
      <c r="G10" s="644"/>
      <c r="H10" s="651" t="s">
        <v>54</v>
      </c>
      <c r="I10" s="621" t="s">
        <v>55</v>
      </c>
      <c r="J10" s="618" t="s">
        <v>355</v>
      </c>
      <c r="K10" s="618" t="s">
        <v>356</v>
      </c>
      <c r="L10" s="621" t="s">
        <v>56</v>
      </c>
      <c r="M10" s="618" t="s">
        <v>357</v>
      </c>
      <c r="N10" s="624" t="s">
        <v>358</v>
      </c>
    </row>
    <row r="11" spans="1:14" ht="14.25">
      <c r="A11" s="639"/>
      <c r="B11" s="641"/>
      <c r="C11" s="645"/>
      <c r="D11" s="646"/>
      <c r="E11" s="646"/>
      <c r="F11" s="646"/>
      <c r="G11" s="647"/>
      <c r="H11" s="652"/>
      <c r="I11" s="622"/>
      <c r="J11" s="619"/>
      <c r="K11" s="619"/>
      <c r="L11" s="622"/>
      <c r="M11" s="619"/>
      <c r="N11" s="625"/>
    </row>
    <row r="12" spans="1:14" ht="15" thickBot="1">
      <c r="A12" s="639"/>
      <c r="B12" s="641"/>
      <c r="C12" s="648"/>
      <c r="D12" s="649"/>
      <c r="E12" s="649"/>
      <c r="F12" s="649"/>
      <c r="G12" s="650"/>
      <c r="H12" s="653"/>
      <c r="I12" s="623"/>
      <c r="J12" s="620"/>
      <c r="K12" s="620"/>
      <c r="L12" s="623"/>
      <c r="M12" s="620"/>
      <c r="N12" s="626"/>
    </row>
    <row r="13" spans="1:14" ht="15.75" thickBot="1">
      <c r="A13" s="66"/>
      <c r="B13" s="67"/>
      <c r="C13" s="627">
        <v>1</v>
      </c>
      <c r="D13" s="628"/>
      <c r="E13" s="628"/>
      <c r="F13" s="628"/>
      <c r="G13" s="628"/>
      <c r="H13" s="68">
        <v>2</v>
      </c>
      <c r="I13" s="68">
        <v>3</v>
      </c>
      <c r="J13" s="562">
        <v>4</v>
      </c>
      <c r="K13" s="562">
        <v>5</v>
      </c>
      <c r="L13" s="68">
        <v>6</v>
      </c>
      <c r="M13" s="562">
        <v>7</v>
      </c>
      <c r="N13" s="563">
        <v>8</v>
      </c>
    </row>
    <row r="14" spans="1:14" ht="14.25">
      <c r="A14" s="69"/>
      <c r="B14" s="70"/>
      <c r="C14" s="71"/>
      <c r="D14" s="40"/>
      <c r="E14" s="40"/>
      <c r="F14" s="40"/>
      <c r="G14" s="40"/>
      <c r="H14" s="72"/>
      <c r="I14" s="72"/>
      <c r="J14" s="74"/>
      <c r="K14" s="74"/>
      <c r="L14" s="72"/>
      <c r="M14" s="74"/>
      <c r="N14" s="564"/>
    </row>
    <row r="15" spans="1:14" ht="15.75" thickBot="1">
      <c r="A15" s="69"/>
      <c r="B15" s="70"/>
      <c r="C15" s="73" t="s">
        <v>57</v>
      </c>
      <c r="D15" s="40"/>
      <c r="E15" s="40"/>
      <c r="F15" s="40"/>
      <c r="G15" s="40"/>
      <c r="H15" s="74"/>
      <c r="I15" s="72"/>
      <c r="J15" s="74"/>
      <c r="K15" s="74"/>
      <c r="L15" s="72"/>
      <c r="M15" s="74"/>
      <c r="N15" s="564"/>
    </row>
    <row r="16" spans="1:14" ht="14.25">
      <c r="A16" s="75" t="s">
        <v>58</v>
      </c>
      <c r="B16" s="76"/>
      <c r="C16" s="616" t="s">
        <v>59</v>
      </c>
      <c r="D16" s="617"/>
      <c r="E16" s="617"/>
      <c r="F16" s="617"/>
      <c r="G16" s="617"/>
      <c r="H16" s="77">
        <v>14782615</v>
      </c>
      <c r="I16" s="77">
        <v>13288205</v>
      </c>
      <c r="J16" s="565">
        <f>I16/$I$58</f>
        <v>0.6423568234204867</v>
      </c>
      <c r="K16" s="565">
        <f>I16/H16-1</f>
        <v>-0.10109239806353609</v>
      </c>
      <c r="L16" s="77">
        <v>12382584</v>
      </c>
      <c r="M16" s="565">
        <f>L16/$L$57</f>
        <v>0.6412931904732212</v>
      </c>
      <c r="N16" s="566">
        <f>L16/I16-1</f>
        <v>-0.06815224479152748</v>
      </c>
    </row>
    <row r="17" spans="1:14" ht="14.25">
      <c r="A17" s="78" t="s">
        <v>58</v>
      </c>
      <c r="B17" s="79"/>
      <c r="C17" s="612" t="s">
        <v>60</v>
      </c>
      <c r="D17" s="613"/>
      <c r="E17" s="613"/>
      <c r="F17" s="613"/>
      <c r="G17" s="613"/>
      <c r="H17" s="80">
        <v>978194</v>
      </c>
      <c r="I17" s="80">
        <v>1655202</v>
      </c>
      <c r="J17" s="567">
        <f>I17/$I$58</f>
        <v>0.08001308670653684</v>
      </c>
      <c r="K17" s="567">
        <f>I17/H17-1</f>
        <v>0.6920999310975124</v>
      </c>
      <c r="L17" s="81" t="s">
        <v>48</v>
      </c>
      <c r="M17" s="568" t="s">
        <v>48</v>
      </c>
      <c r="N17" s="569" t="s">
        <v>48</v>
      </c>
    </row>
    <row r="18" spans="1:14" ht="15" thickBot="1">
      <c r="A18" s="82" t="s">
        <v>58</v>
      </c>
      <c r="B18" s="83"/>
      <c r="C18" s="604" t="s">
        <v>61</v>
      </c>
      <c r="D18" s="605"/>
      <c r="E18" s="605"/>
      <c r="F18" s="605"/>
      <c r="G18" s="605"/>
      <c r="H18" s="84">
        <v>1630532</v>
      </c>
      <c r="I18" s="84">
        <v>1655202</v>
      </c>
      <c r="J18" s="570">
        <f>I18/$I$58</f>
        <v>0.08001308670653684</v>
      </c>
      <c r="K18" s="570">
        <f>I18/H18-1</f>
        <v>0.015130031180007553</v>
      </c>
      <c r="L18" s="84">
        <v>3095646</v>
      </c>
      <c r="M18" s="570">
        <f>L18/$L$57</f>
        <v>0.1603232976183053</v>
      </c>
      <c r="N18" s="571">
        <f>L18/(I18+I17)-1</f>
        <v>-0.0648736528834547</v>
      </c>
    </row>
    <row r="19" spans="1:14" ht="15.75" thickBot="1">
      <c r="A19" s="85"/>
      <c r="B19" s="86"/>
      <c r="C19" s="614" t="s">
        <v>62</v>
      </c>
      <c r="D19" s="615"/>
      <c r="E19" s="615"/>
      <c r="F19" s="615"/>
      <c r="G19" s="615"/>
      <c r="H19" s="87">
        <f>SUM(H16:H18)</f>
        <v>17391341</v>
      </c>
      <c r="I19" s="87">
        <f>SUM(I16:I18)</f>
        <v>16598609</v>
      </c>
      <c r="J19" s="572">
        <f>I19/$I$58</f>
        <v>0.8023829968335604</v>
      </c>
      <c r="K19" s="572">
        <f>I19/H19-1</f>
        <v>-0.04558199393594775</v>
      </c>
      <c r="L19" s="87">
        <f>SUM(L16:L18)</f>
        <v>15478230</v>
      </c>
      <c r="M19" s="572">
        <f>L19/$L$57</f>
        <v>0.8016164880915265</v>
      </c>
      <c r="N19" s="573">
        <f aca="true" t="shared" si="0" ref="N19:N60">L19/I19-1</f>
        <v>-0.06749836688122479</v>
      </c>
    </row>
    <row r="20" spans="1:14" ht="14.25">
      <c r="A20" s="69"/>
      <c r="B20" s="70"/>
      <c r="C20" s="71"/>
      <c r="D20" s="40"/>
      <c r="E20" s="40"/>
      <c r="F20" s="40"/>
      <c r="G20" s="40"/>
      <c r="H20" s="88"/>
      <c r="I20" s="88"/>
      <c r="J20" s="574"/>
      <c r="K20" s="574"/>
      <c r="L20" s="88"/>
      <c r="M20" s="574"/>
      <c r="N20" s="575"/>
    </row>
    <row r="21" spans="1:14" ht="15" thickBot="1">
      <c r="A21" s="69"/>
      <c r="B21" s="70"/>
      <c r="C21" s="71" t="s">
        <v>63</v>
      </c>
      <c r="D21" s="40"/>
      <c r="E21" s="40"/>
      <c r="F21" s="40"/>
      <c r="G21" s="40"/>
      <c r="H21" s="89"/>
      <c r="I21" s="88"/>
      <c r="J21" s="576"/>
      <c r="K21" s="576"/>
      <c r="L21" s="88"/>
      <c r="M21" s="576"/>
      <c r="N21" s="577"/>
    </row>
    <row r="22" spans="1:14" ht="14.25">
      <c r="A22" s="75" t="s">
        <v>58</v>
      </c>
      <c r="B22" s="76"/>
      <c r="C22" s="616" t="s">
        <v>64</v>
      </c>
      <c r="D22" s="617"/>
      <c r="E22" s="617"/>
      <c r="F22" s="617"/>
      <c r="G22" s="617"/>
      <c r="H22" s="90">
        <v>1013279</v>
      </c>
      <c r="I22" s="90">
        <v>1054455</v>
      </c>
      <c r="J22" s="578">
        <f aca="true" t="shared" si="1" ref="J22:J28">I22/$I$58</f>
        <v>0.05097275096522437</v>
      </c>
      <c r="K22" s="578">
        <f aca="true" t="shared" si="2" ref="K22:K28">I22/H22-1</f>
        <v>0.040636389385351857</v>
      </c>
      <c r="L22" s="90">
        <v>998821</v>
      </c>
      <c r="M22" s="578">
        <f aca="true" t="shared" si="3" ref="M22:M28">L22/$L$57</f>
        <v>0.0517288722452158</v>
      </c>
      <c r="N22" s="579">
        <f t="shared" si="0"/>
        <v>-0.052760904922448115</v>
      </c>
    </row>
    <row r="23" spans="1:14" ht="14.25">
      <c r="A23" s="78"/>
      <c r="B23" s="91" t="s">
        <v>65</v>
      </c>
      <c r="C23" s="612" t="s">
        <v>66</v>
      </c>
      <c r="D23" s="613"/>
      <c r="E23" s="613"/>
      <c r="F23" s="613"/>
      <c r="G23" s="613"/>
      <c r="H23" s="92">
        <v>217770</v>
      </c>
      <c r="I23" s="92">
        <v>198340</v>
      </c>
      <c r="J23" s="580">
        <f t="shared" si="1"/>
        <v>0.00958783013636675</v>
      </c>
      <c r="K23" s="580">
        <f t="shared" si="2"/>
        <v>-0.08922257427561187</v>
      </c>
      <c r="L23" s="92">
        <v>180629</v>
      </c>
      <c r="M23" s="580">
        <f t="shared" si="3"/>
        <v>0.009354763731220194</v>
      </c>
      <c r="N23" s="581">
        <f t="shared" si="0"/>
        <v>-0.08929615811233238</v>
      </c>
    </row>
    <row r="24" spans="1:14" ht="14.25">
      <c r="A24" s="78" t="s">
        <v>58</v>
      </c>
      <c r="B24" s="91"/>
      <c r="C24" s="612" t="s">
        <v>67</v>
      </c>
      <c r="D24" s="613"/>
      <c r="E24" s="613"/>
      <c r="F24" s="613"/>
      <c r="G24" s="613"/>
      <c r="H24" s="92">
        <v>85909</v>
      </c>
      <c r="I24" s="92">
        <v>57248</v>
      </c>
      <c r="J24" s="580">
        <f t="shared" si="1"/>
        <v>0.002767389833854612</v>
      </c>
      <c r="K24" s="580">
        <f t="shared" si="2"/>
        <v>-0.33362045885762837</v>
      </c>
      <c r="L24" s="92">
        <v>51000</v>
      </c>
      <c r="M24" s="580">
        <f t="shared" si="3"/>
        <v>0.0026412865613618516</v>
      </c>
      <c r="N24" s="581">
        <f t="shared" si="0"/>
        <v>-0.10913918390162103</v>
      </c>
    </row>
    <row r="25" spans="1:14" ht="14.25">
      <c r="A25" s="78"/>
      <c r="B25" s="91" t="s">
        <v>65</v>
      </c>
      <c r="C25" s="612" t="s">
        <v>68</v>
      </c>
      <c r="D25" s="613"/>
      <c r="E25" s="613"/>
      <c r="F25" s="613"/>
      <c r="G25" s="613"/>
      <c r="H25" s="92">
        <v>4172</v>
      </c>
      <c r="I25" s="92">
        <f>3500-245</f>
        <v>3255</v>
      </c>
      <c r="J25" s="580">
        <f t="shared" si="1"/>
        <v>0.00015734792323219608</v>
      </c>
      <c r="K25" s="580">
        <f t="shared" si="2"/>
        <v>-0.2197986577181208</v>
      </c>
      <c r="L25" s="92">
        <v>3038</v>
      </c>
      <c r="M25" s="580">
        <f t="shared" si="3"/>
        <v>0.00015733781516504518</v>
      </c>
      <c r="N25" s="581">
        <f t="shared" si="0"/>
        <v>-0.06666666666666665</v>
      </c>
    </row>
    <row r="26" spans="1:14" ht="14.25">
      <c r="A26" s="78" t="s">
        <v>58</v>
      </c>
      <c r="B26" s="91"/>
      <c r="C26" s="612" t="s">
        <v>69</v>
      </c>
      <c r="D26" s="613"/>
      <c r="E26" s="613"/>
      <c r="F26" s="613"/>
      <c r="G26" s="613"/>
      <c r="H26" s="92">
        <v>960361</v>
      </c>
      <c r="I26" s="92">
        <v>903679</v>
      </c>
      <c r="J26" s="580">
        <f t="shared" si="1"/>
        <v>0.04368418246345552</v>
      </c>
      <c r="K26" s="580">
        <f t="shared" si="2"/>
        <v>-0.05902155543592458</v>
      </c>
      <c r="L26" s="92">
        <v>835310</v>
      </c>
      <c r="M26" s="580">
        <f t="shared" si="3"/>
        <v>0.043260648579826824</v>
      </c>
      <c r="N26" s="581">
        <f t="shared" si="0"/>
        <v>-0.07565628945676506</v>
      </c>
    </row>
    <row r="27" spans="1:14" ht="15" thickBot="1">
      <c r="A27" s="82"/>
      <c r="B27" s="93" t="s">
        <v>65</v>
      </c>
      <c r="C27" s="604" t="s">
        <v>70</v>
      </c>
      <c r="D27" s="605"/>
      <c r="E27" s="605"/>
      <c r="F27" s="605"/>
      <c r="G27" s="605"/>
      <c r="H27" s="94">
        <v>50146</v>
      </c>
      <c r="I27" s="94">
        <v>66622</v>
      </c>
      <c r="J27" s="582">
        <f t="shared" si="1"/>
        <v>0.003220532516613016</v>
      </c>
      <c r="K27" s="582">
        <f t="shared" si="2"/>
        <v>0.3285606030391257</v>
      </c>
      <c r="L27" s="94">
        <v>57282</v>
      </c>
      <c r="M27" s="582">
        <f t="shared" si="3"/>
        <v>0.0029666309178025406</v>
      </c>
      <c r="N27" s="583">
        <f t="shared" si="0"/>
        <v>-0.14019392993305513</v>
      </c>
    </row>
    <row r="28" spans="1:14" ht="15.75" thickBot="1">
      <c r="A28" s="85"/>
      <c r="B28" s="86"/>
      <c r="C28" s="614" t="s">
        <v>71</v>
      </c>
      <c r="D28" s="615"/>
      <c r="E28" s="615"/>
      <c r="F28" s="615"/>
      <c r="G28" s="615"/>
      <c r="H28" s="87">
        <f>H22+H24+H25+H26+H27+H23</f>
        <v>2331637</v>
      </c>
      <c r="I28" s="87">
        <f>SUM(I22:I27)</f>
        <v>2283599</v>
      </c>
      <c r="J28" s="572">
        <f t="shared" si="1"/>
        <v>0.11039003383874646</v>
      </c>
      <c r="K28" s="572">
        <f t="shared" si="2"/>
        <v>-0.020602692443120407</v>
      </c>
      <c r="L28" s="87">
        <f>SUM(L22:L27)</f>
        <v>2126080</v>
      </c>
      <c r="M28" s="572">
        <f t="shared" si="3"/>
        <v>0.11010953985059226</v>
      </c>
      <c r="N28" s="573">
        <f t="shared" si="0"/>
        <v>-0.06897839769591774</v>
      </c>
    </row>
    <row r="29" spans="1:14" ht="14.25">
      <c r="A29" s="69"/>
      <c r="B29" s="70"/>
      <c r="C29" s="71"/>
      <c r="D29" s="40"/>
      <c r="E29" s="40"/>
      <c r="F29" s="40"/>
      <c r="G29" s="40"/>
      <c r="H29" s="89"/>
      <c r="I29" s="88"/>
      <c r="J29" s="574"/>
      <c r="K29" s="574"/>
      <c r="L29" s="88"/>
      <c r="M29" s="574"/>
      <c r="N29" s="577"/>
    </row>
    <row r="30" spans="1:14" ht="15.75" thickBot="1">
      <c r="A30" s="69"/>
      <c r="B30" s="70"/>
      <c r="C30" s="73" t="s">
        <v>72</v>
      </c>
      <c r="D30" s="40"/>
      <c r="E30" s="40"/>
      <c r="F30" s="40"/>
      <c r="G30" s="40"/>
      <c r="H30" s="88"/>
      <c r="I30" s="88"/>
      <c r="J30" s="576"/>
      <c r="K30" s="576"/>
      <c r="L30" s="88"/>
      <c r="M30" s="576"/>
      <c r="N30" s="577"/>
    </row>
    <row r="31" spans="1:14" ht="14.25">
      <c r="A31" s="75"/>
      <c r="B31" s="76" t="s">
        <v>65</v>
      </c>
      <c r="C31" s="616" t="s">
        <v>73</v>
      </c>
      <c r="D31" s="617"/>
      <c r="E31" s="617"/>
      <c r="F31" s="617"/>
      <c r="G31" s="617"/>
      <c r="H31" s="90">
        <v>334000</v>
      </c>
      <c r="I31" s="90">
        <v>319638</v>
      </c>
      <c r="J31" s="578">
        <f>I31/$I$58</f>
        <v>0.015451421040274253</v>
      </c>
      <c r="K31" s="578">
        <f>I31/H31-1</f>
        <v>-0.04300000000000004</v>
      </c>
      <c r="L31" s="90">
        <v>287548</v>
      </c>
      <c r="M31" s="578">
        <f>L31/$L$57</f>
        <v>0.014892091532283876</v>
      </c>
      <c r="N31" s="584">
        <f t="shared" si="0"/>
        <v>-0.10039482164198255</v>
      </c>
    </row>
    <row r="32" spans="1:14" ht="15" thickBot="1">
      <c r="A32" s="82"/>
      <c r="B32" s="93" t="s">
        <v>65</v>
      </c>
      <c r="C32" s="604" t="s">
        <v>74</v>
      </c>
      <c r="D32" s="605"/>
      <c r="E32" s="605"/>
      <c r="F32" s="605"/>
      <c r="G32" s="605"/>
      <c r="H32" s="94">
        <v>1131885</v>
      </c>
      <c r="I32" s="94">
        <v>1083213</v>
      </c>
      <c r="J32" s="582">
        <f>I32/$I$58</f>
        <v>0.052362923492509005</v>
      </c>
      <c r="K32" s="582">
        <f>I32/H32-1</f>
        <v>-0.04300083489047035</v>
      </c>
      <c r="L32" s="94">
        <v>974734</v>
      </c>
      <c r="M32" s="582">
        <f>L32/$L$57</f>
        <v>0.05048140813926437</v>
      </c>
      <c r="N32" s="571">
        <f t="shared" si="0"/>
        <v>-0.10014558540194773</v>
      </c>
    </row>
    <row r="33" spans="1:14" ht="15.75" thickBot="1">
      <c r="A33" s="85"/>
      <c r="B33" s="86"/>
      <c r="C33" s="606" t="s">
        <v>75</v>
      </c>
      <c r="D33" s="607"/>
      <c r="E33" s="607"/>
      <c r="F33" s="607"/>
      <c r="G33" s="607"/>
      <c r="H33" s="87">
        <f>H31+H32</f>
        <v>1465885</v>
      </c>
      <c r="I33" s="87">
        <f>SUM(I31:I32)</f>
        <v>1402851</v>
      </c>
      <c r="J33" s="572">
        <f>I33/$I$58</f>
        <v>0.06781434453278326</v>
      </c>
      <c r="K33" s="572">
        <f>I33/H33-1</f>
        <v>-0.04300064466175724</v>
      </c>
      <c r="L33" s="87">
        <f>SUM(L31:L32)</f>
        <v>1262282</v>
      </c>
      <c r="M33" s="572">
        <f>L33/$L$57</f>
        <v>0.06537349967154825</v>
      </c>
      <c r="N33" s="573">
        <f t="shared" si="0"/>
        <v>-0.1002023735949149</v>
      </c>
    </row>
    <row r="34" spans="1:14" ht="14.25">
      <c r="A34" s="69"/>
      <c r="B34" s="70"/>
      <c r="C34" s="71"/>
      <c r="D34" s="40"/>
      <c r="E34" s="40"/>
      <c r="F34" s="40"/>
      <c r="G34" s="40"/>
      <c r="H34" s="88"/>
      <c r="I34" s="88"/>
      <c r="J34" s="574"/>
      <c r="K34" s="574"/>
      <c r="L34" s="88"/>
      <c r="M34" s="574"/>
      <c r="N34" s="577"/>
    </row>
    <row r="35" spans="1:14" ht="15.75" thickBot="1">
      <c r="A35" s="95"/>
      <c r="B35" s="96"/>
      <c r="C35" s="73" t="s">
        <v>76</v>
      </c>
      <c r="D35" s="40"/>
      <c r="E35" s="40"/>
      <c r="F35" s="40"/>
      <c r="G35" s="40"/>
      <c r="H35" s="88"/>
      <c r="I35" s="88"/>
      <c r="J35" s="576"/>
      <c r="K35" s="576"/>
      <c r="L35" s="88"/>
      <c r="M35" s="576"/>
      <c r="N35" s="577"/>
    </row>
    <row r="36" spans="1:14" ht="15" thickBot="1">
      <c r="A36" s="97"/>
      <c r="B36" s="98"/>
      <c r="C36" s="99" t="s">
        <v>77</v>
      </c>
      <c r="D36" s="100"/>
      <c r="E36" s="100"/>
      <c r="F36" s="100"/>
      <c r="G36" s="100"/>
      <c r="H36" s="101">
        <f>SUM(H37:H43)</f>
        <v>311379</v>
      </c>
      <c r="I36" s="101">
        <f>SUM(I37:I43)</f>
        <v>310082</v>
      </c>
      <c r="J36" s="585">
        <f aca="true" t="shared" si="4" ref="J36:J45">I36/$I$58</f>
        <v>0.014989480409120069</v>
      </c>
      <c r="K36" s="585">
        <f aca="true" t="shared" si="5" ref="K36:K42">I36/H36-1</f>
        <v>-0.0041653419145157855</v>
      </c>
      <c r="L36" s="101">
        <f>SUM(L37:L43)</f>
        <v>292180</v>
      </c>
      <c r="M36" s="585">
        <f aca="true" t="shared" si="6" ref="M36:M58">L36/$L$57</f>
        <v>0.015131982499974623</v>
      </c>
      <c r="N36" s="586">
        <f t="shared" si="0"/>
        <v>-0.05773311575647733</v>
      </c>
    </row>
    <row r="37" spans="1:14" ht="14.25">
      <c r="A37" s="78"/>
      <c r="B37" s="102" t="s">
        <v>65</v>
      </c>
      <c r="C37" s="70" t="s">
        <v>78</v>
      </c>
      <c r="D37" s="103" t="s">
        <v>79</v>
      </c>
      <c r="E37" s="104"/>
      <c r="F37" s="104"/>
      <c r="G37" s="104"/>
      <c r="H37" s="105">
        <v>5000</v>
      </c>
      <c r="I37" s="105">
        <v>4500</v>
      </c>
      <c r="J37" s="578">
        <f t="shared" si="4"/>
        <v>0.00021753169110441854</v>
      </c>
      <c r="K37" s="578">
        <f t="shared" si="5"/>
        <v>-0.09999999999999998</v>
      </c>
      <c r="L37" s="105">
        <v>4500</v>
      </c>
      <c r="M37" s="578">
        <f t="shared" si="6"/>
        <v>0.00023305469659075162</v>
      </c>
      <c r="N37" s="587">
        <f t="shared" si="0"/>
        <v>0</v>
      </c>
    </row>
    <row r="38" spans="1:14" ht="14.25">
      <c r="A38" s="78"/>
      <c r="B38" s="102" t="s">
        <v>65</v>
      </c>
      <c r="C38" s="106"/>
      <c r="D38" s="102" t="s">
        <v>80</v>
      </c>
      <c r="E38" s="107"/>
      <c r="F38" s="107"/>
      <c r="G38" s="107"/>
      <c r="H38" s="92">
        <v>10000</v>
      </c>
      <c r="I38" s="92">
        <v>10000</v>
      </c>
      <c r="J38" s="580">
        <f t="shared" si="4"/>
        <v>0.000483403758009819</v>
      </c>
      <c r="K38" s="580">
        <f t="shared" si="5"/>
        <v>0</v>
      </c>
      <c r="L38" s="108">
        <v>10000</v>
      </c>
      <c r="M38" s="580">
        <f t="shared" si="6"/>
        <v>0.0005178993257572258</v>
      </c>
      <c r="N38" s="588">
        <f t="shared" si="0"/>
        <v>0</v>
      </c>
    </row>
    <row r="39" spans="1:14" ht="14.25">
      <c r="A39" s="78"/>
      <c r="B39" s="102" t="s">
        <v>65</v>
      </c>
      <c r="C39" s="106"/>
      <c r="D39" s="102" t="s">
        <v>81</v>
      </c>
      <c r="E39" s="107"/>
      <c r="F39" s="107"/>
      <c r="G39" s="107"/>
      <c r="H39" s="92">
        <v>272797</v>
      </c>
      <c r="I39" s="92">
        <v>272000</v>
      </c>
      <c r="J39" s="580">
        <f t="shared" si="4"/>
        <v>0.013148582217867077</v>
      </c>
      <c r="K39" s="580">
        <f t="shared" si="5"/>
        <v>-0.0029215863810818643</v>
      </c>
      <c r="L39" s="108">
        <v>253883</v>
      </c>
      <c r="M39" s="580">
        <f t="shared" si="6"/>
        <v>0.013148583452122175</v>
      </c>
      <c r="N39" s="588">
        <f t="shared" si="0"/>
        <v>-0.06660661764705877</v>
      </c>
    </row>
    <row r="40" spans="1:14" ht="14.25">
      <c r="A40" s="109" t="s">
        <v>58</v>
      </c>
      <c r="B40" s="102"/>
      <c r="C40" s="106"/>
      <c r="D40" s="102" t="s">
        <v>82</v>
      </c>
      <c r="E40" s="107"/>
      <c r="F40" s="107"/>
      <c r="G40" s="107"/>
      <c r="H40" s="92">
        <v>9182</v>
      </c>
      <c r="I40" s="92">
        <v>9182</v>
      </c>
      <c r="J40" s="580">
        <f t="shared" si="4"/>
        <v>0.0004438613306046158</v>
      </c>
      <c r="K40" s="580">
        <f t="shared" si="5"/>
        <v>0</v>
      </c>
      <c r="L40" s="92">
        <v>9397</v>
      </c>
      <c r="M40" s="580">
        <f t="shared" si="6"/>
        <v>0.0004866699964140651</v>
      </c>
      <c r="N40" s="588">
        <f t="shared" si="0"/>
        <v>0.02341537791330861</v>
      </c>
    </row>
    <row r="41" spans="1:14" ht="14.25">
      <c r="A41" s="78" t="s">
        <v>58</v>
      </c>
      <c r="B41" s="102" t="s">
        <v>65</v>
      </c>
      <c r="C41" s="106"/>
      <c r="D41" s="102" t="s">
        <v>83</v>
      </c>
      <c r="E41" s="107"/>
      <c r="F41" s="107"/>
      <c r="G41" s="107"/>
      <c r="H41" s="92">
        <v>13500</v>
      </c>
      <c r="I41" s="92">
        <v>13500</v>
      </c>
      <c r="J41" s="580">
        <f t="shared" si="4"/>
        <v>0.0006525950733132556</v>
      </c>
      <c r="K41" s="580">
        <f t="shared" si="5"/>
        <v>0</v>
      </c>
      <c r="L41" s="92">
        <v>13500</v>
      </c>
      <c r="M41" s="580">
        <f t="shared" si="6"/>
        <v>0.0006991640897722548</v>
      </c>
      <c r="N41" s="588">
        <f t="shared" si="0"/>
        <v>0</v>
      </c>
    </row>
    <row r="42" spans="1:14" ht="14.25">
      <c r="A42" s="78"/>
      <c r="B42" s="102" t="s">
        <v>65</v>
      </c>
      <c r="C42" s="110"/>
      <c r="D42" s="102" t="s">
        <v>84</v>
      </c>
      <c r="E42" s="107"/>
      <c r="F42" s="107"/>
      <c r="G42" s="107"/>
      <c r="H42" s="92">
        <v>900</v>
      </c>
      <c r="I42" s="92">
        <v>900</v>
      </c>
      <c r="J42" s="580">
        <f t="shared" si="4"/>
        <v>4.350633822088371E-05</v>
      </c>
      <c r="K42" s="580">
        <f t="shared" si="5"/>
        <v>0</v>
      </c>
      <c r="L42" s="92">
        <v>900</v>
      </c>
      <c r="M42" s="580">
        <f t="shared" si="6"/>
        <v>4.661093931815032E-05</v>
      </c>
      <c r="N42" s="588">
        <f t="shared" si="0"/>
        <v>0</v>
      </c>
    </row>
    <row r="43" spans="1:14" ht="15" thickBot="1">
      <c r="A43" s="111"/>
      <c r="B43" s="112" t="s">
        <v>65</v>
      </c>
      <c r="C43" s="110"/>
      <c r="D43" s="113" t="s">
        <v>85</v>
      </c>
      <c r="E43" s="114"/>
      <c r="F43" s="114"/>
      <c r="G43" s="114"/>
      <c r="H43" s="115">
        <v>0</v>
      </c>
      <c r="I43" s="115">
        <v>0</v>
      </c>
      <c r="J43" s="589">
        <f t="shared" si="4"/>
        <v>0</v>
      </c>
      <c r="K43" s="589"/>
      <c r="L43" s="115">
        <v>0</v>
      </c>
      <c r="M43" s="589">
        <f t="shared" si="6"/>
        <v>0</v>
      </c>
      <c r="N43" s="590"/>
    </row>
    <row r="44" spans="1:14" ht="15" thickBot="1">
      <c r="A44" s="116"/>
      <c r="B44" s="117"/>
      <c r="C44" s="99" t="s">
        <v>86</v>
      </c>
      <c r="D44" s="100"/>
      <c r="E44" s="100"/>
      <c r="F44" s="100"/>
      <c r="G44" s="100"/>
      <c r="H44" s="118">
        <f>SUM(H45:H54)</f>
        <v>100000</v>
      </c>
      <c r="I44" s="118">
        <f>SUM(I45:I54)</f>
        <v>81500</v>
      </c>
      <c r="J44" s="585">
        <f t="shared" si="4"/>
        <v>0.003939740627780025</v>
      </c>
      <c r="K44" s="585">
        <f>I44/H44-1</f>
        <v>-0.18500000000000005</v>
      </c>
      <c r="L44" s="118">
        <f>SUM(L45:L54)</f>
        <v>150000</v>
      </c>
      <c r="M44" s="585">
        <f t="shared" si="6"/>
        <v>0.007768489886358387</v>
      </c>
      <c r="N44" s="586">
        <f t="shared" si="0"/>
        <v>0.8404907975460123</v>
      </c>
    </row>
    <row r="45" spans="1:14" ht="14.25">
      <c r="A45" s="75" t="s">
        <v>58</v>
      </c>
      <c r="B45" s="103" t="s">
        <v>65</v>
      </c>
      <c r="C45" s="119" t="s">
        <v>78</v>
      </c>
      <c r="D45" s="103" t="s">
        <v>87</v>
      </c>
      <c r="E45" s="120"/>
      <c r="F45" s="120"/>
      <c r="G45" s="120"/>
      <c r="H45" s="90">
        <v>35000</v>
      </c>
      <c r="I45" s="90">
        <v>25000</v>
      </c>
      <c r="J45" s="578">
        <f t="shared" si="4"/>
        <v>0.0012085093950245475</v>
      </c>
      <c r="K45" s="578">
        <f>I45/H45-1</f>
        <v>-0.2857142857142857</v>
      </c>
      <c r="L45" s="90">
        <v>0</v>
      </c>
      <c r="M45" s="578">
        <f t="shared" si="6"/>
        <v>0</v>
      </c>
      <c r="N45" s="584">
        <f t="shared" si="0"/>
        <v>-1</v>
      </c>
    </row>
    <row r="46" spans="1:14" ht="14.25">
      <c r="A46" s="121"/>
      <c r="B46" s="122"/>
      <c r="C46" s="123"/>
      <c r="D46" s="122" t="s">
        <v>88</v>
      </c>
      <c r="E46" s="96"/>
      <c r="F46" s="96"/>
      <c r="G46" s="96"/>
      <c r="H46" s="105"/>
      <c r="I46" s="105"/>
      <c r="J46" s="591"/>
      <c r="K46" s="591"/>
      <c r="L46" s="105">
        <v>40000</v>
      </c>
      <c r="M46" s="591">
        <f t="shared" si="6"/>
        <v>0.0020715973030289033</v>
      </c>
      <c r="N46" s="587"/>
    </row>
    <row r="47" spans="1:14" ht="20.25">
      <c r="A47" s="78"/>
      <c r="B47" s="102" t="s">
        <v>65</v>
      </c>
      <c r="C47" s="106"/>
      <c r="D47" s="102" t="s">
        <v>89</v>
      </c>
      <c r="E47" s="107"/>
      <c r="F47" s="107"/>
      <c r="G47" s="107"/>
      <c r="H47" s="105">
        <v>15000</v>
      </c>
      <c r="I47" s="92">
        <v>10000</v>
      </c>
      <c r="J47" s="580">
        <f aca="true" t="shared" si="7" ref="J47:J56">I47/$I$58</f>
        <v>0.000483403758009819</v>
      </c>
      <c r="K47" s="580">
        <f>I47/H47-1</f>
        <v>-0.33333333333333337</v>
      </c>
      <c r="L47" s="92">
        <v>10000</v>
      </c>
      <c r="M47" s="580">
        <f t="shared" si="6"/>
        <v>0.0005178993257572258</v>
      </c>
      <c r="N47" s="588">
        <f t="shared" si="0"/>
        <v>0</v>
      </c>
    </row>
    <row r="48" spans="1:14" ht="20.25">
      <c r="A48" s="78"/>
      <c r="B48" s="102"/>
      <c r="C48" s="106"/>
      <c r="D48" s="102" t="s">
        <v>90</v>
      </c>
      <c r="E48" s="107"/>
      <c r="F48" s="107"/>
      <c r="G48" s="107"/>
      <c r="H48" s="105">
        <v>15000</v>
      </c>
      <c r="I48" s="92">
        <v>26000</v>
      </c>
      <c r="J48" s="580">
        <f t="shared" si="7"/>
        <v>0.0012568497708255295</v>
      </c>
      <c r="K48" s="580">
        <f>I48/H48-1</f>
        <v>0.7333333333333334</v>
      </c>
      <c r="L48" s="92">
        <v>26000</v>
      </c>
      <c r="M48" s="580">
        <f t="shared" si="6"/>
        <v>0.001346538246968787</v>
      </c>
      <c r="N48" s="588">
        <f t="shared" si="0"/>
        <v>0</v>
      </c>
    </row>
    <row r="49" spans="1:14" ht="20.25">
      <c r="A49" s="78" t="s">
        <v>58</v>
      </c>
      <c r="B49" s="102"/>
      <c r="C49" s="106"/>
      <c r="D49" s="102" t="s">
        <v>91</v>
      </c>
      <c r="E49" s="107"/>
      <c r="F49" s="107"/>
      <c r="G49" s="107"/>
      <c r="H49" s="92">
        <v>2000</v>
      </c>
      <c r="I49" s="92">
        <v>2000</v>
      </c>
      <c r="J49" s="580">
        <f t="shared" si="7"/>
        <v>9.66807516019638E-05</v>
      </c>
      <c r="K49" s="580">
        <f>I49/H49-1</f>
        <v>0</v>
      </c>
      <c r="L49" s="92">
        <v>0</v>
      </c>
      <c r="M49" s="580">
        <f t="shared" si="6"/>
        <v>0</v>
      </c>
      <c r="N49" s="588">
        <f t="shared" si="0"/>
        <v>-1</v>
      </c>
    </row>
    <row r="50" spans="1:14" ht="20.25">
      <c r="A50" s="78"/>
      <c r="B50" s="102" t="s">
        <v>65</v>
      </c>
      <c r="C50" s="106"/>
      <c r="D50" s="102" t="s">
        <v>92</v>
      </c>
      <c r="E50" s="107"/>
      <c r="F50" s="107"/>
      <c r="G50" s="107"/>
      <c r="H50" s="105">
        <v>0</v>
      </c>
      <c r="I50" s="92">
        <v>0</v>
      </c>
      <c r="J50" s="580">
        <f t="shared" si="7"/>
        <v>0</v>
      </c>
      <c r="K50" s="580"/>
      <c r="L50" s="92">
        <v>0</v>
      </c>
      <c r="M50" s="580">
        <f t="shared" si="6"/>
        <v>0</v>
      </c>
      <c r="N50" s="588"/>
    </row>
    <row r="51" spans="1:14" ht="20.25">
      <c r="A51" s="78" t="s">
        <v>58</v>
      </c>
      <c r="B51" s="102" t="s">
        <v>65</v>
      </c>
      <c r="C51" s="106"/>
      <c r="D51" s="102" t="s">
        <v>93</v>
      </c>
      <c r="E51" s="107"/>
      <c r="F51" s="107"/>
      <c r="G51" s="107"/>
      <c r="H51" s="105">
        <v>5000</v>
      </c>
      <c r="I51" s="92">
        <v>3500</v>
      </c>
      <c r="J51" s="580">
        <f t="shared" si="7"/>
        <v>0.00016919131530343664</v>
      </c>
      <c r="K51" s="580">
        <f>I51/H51-1</f>
        <v>-0.30000000000000004</v>
      </c>
      <c r="L51" s="92">
        <v>19000</v>
      </c>
      <c r="M51" s="580">
        <f t="shared" si="6"/>
        <v>0.000984008718938729</v>
      </c>
      <c r="N51" s="588"/>
    </row>
    <row r="52" spans="1:14" ht="20.25">
      <c r="A52" s="78" t="s">
        <v>58</v>
      </c>
      <c r="B52" s="102"/>
      <c r="C52" s="106"/>
      <c r="D52" s="102" t="s">
        <v>94</v>
      </c>
      <c r="E52" s="107"/>
      <c r="F52" s="107"/>
      <c r="G52" s="107"/>
      <c r="H52" s="105">
        <v>0</v>
      </c>
      <c r="I52" s="92">
        <v>0</v>
      </c>
      <c r="J52" s="580">
        <f t="shared" si="7"/>
        <v>0</v>
      </c>
      <c r="K52" s="580"/>
      <c r="L52" s="92">
        <v>40000</v>
      </c>
      <c r="M52" s="580">
        <f t="shared" si="6"/>
        <v>0.0020715973030289033</v>
      </c>
      <c r="N52" s="588"/>
    </row>
    <row r="53" spans="1:14" ht="20.25">
      <c r="A53" s="78" t="s">
        <v>58</v>
      </c>
      <c r="B53" s="102" t="s">
        <v>65</v>
      </c>
      <c r="C53" s="106"/>
      <c r="D53" s="102" t="s">
        <v>95</v>
      </c>
      <c r="E53" s="107"/>
      <c r="F53" s="107"/>
      <c r="G53" s="107"/>
      <c r="H53" s="105">
        <v>13000</v>
      </c>
      <c r="I53" s="92">
        <v>0</v>
      </c>
      <c r="J53" s="580">
        <f t="shared" si="7"/>
        <v>0</v>
      </c>
      <c r="K53" s="580">
        <f>I53/H53-1</f>
        <v>-1</v>
      </c>
      <c r="L53" s="92">
        <v>0</v>
      </c>
      <c r="M53" s="580">
        <f t="shared" si="6"/>
        <v>0</v>
      </c>
      <c r="N53" s="588"/>
    </row>
    <row r="54" spans="1:14" ht="21" thickBot="1">
      <c r="A54" s="82" t="s">
        <v>58</v>
      </c>
      <c r="B54" s="113" t="s">
        <v>65</v>
      </c>
      <c r="C54" s="124"/>
      <c r="D54" s="113" t="s">
        <v>96</v>
      </c>
      <c r="E54" s="125"/>
      <c r="F54" s="125"/>
      <c r="G54" s="125"/>
      <c r="H54" s="126">
        <v>15000</v>
      </c>
      <c r="I54" s="94">
        <v>15000</v>
      </c>
      <c r="J54" s="582">
        <f t="shared" si="7"/>
        <v>0.0007251056370147285</v>
      </c>
      <c r="K54" s="582">
        <f>I54/H54-1</f>
        <v>0</v>
      </c>
      <c r="L54" s="94">
        <v>15000</v>
      </c>
      <c r="M54" s="582">
        <f t="shared" si="6"/>
        <v>0.0007768489886358387</v>
      </c>
      <c r="N54" s="571">
        <f t="shared" si="0"/>
        <v>0</v>
      </c>
    </row>
    <row r="55" spans="1:14" ht="21" thickBot="1">
      <c r="A55" s="97" t="s">
        <v>58</v>
      </c>
      <c r="B55" s="98" t="s">
        <v>65</v>
      </c>
      <c r="C55" s="127" t="s">
        <v>97</v>
      </c>
      <c r="D55" s="128"/>
      <c r="E55" s="128"/>
      <c r="F55" s="128"/>
      <c r="G55" s="128"/>
      <c r="H55" s="129">
        <v>15000</v>
      </c>
      <c r="I55" s="130">
        <v>10000</v>
      </c>
      <c r="J55" s="585">
        <f t="shared" si="7"/>
        <v>0.000483403758009819</v>
      </c>
      <c r="K55" s="585">
        <f>I55/H55-1</f>
        <v>-0.33333333333333337</v>
      </c>
      <c r="L55" s="130">
        <v>0</v>
      </c>
      <c r="M55" s="585">
        <f t="shared" si="6"/>
        <v>0</v>
      </c>
      <c r="N55" s="586">
        <f t="shared" si="0"/>
        <v>-1</v>
      </c>
    </row>
    <row r="56" spans="1:14" ht="21" thickBot="1">
      <c r="A56" s="131"/>
      <c r="B56" s="132"/>
      <c r="C56" s="133" t="s">
        <v>98</v>
      </c>
      <c r="D56" s="134"/>
      <c r="E56" s="134"/>
      <c r="F56" s="134"/>
      <c r="G56" s="134"/>
      <c r="H56" s="135">
        <f>H36+H44+H55</f>
        <v>426379</v>
      </c>
      <c r="I56" s="135">
        <f>I36+I44+I55</f>
        <v>401582</v>
      </c>
      <c r="J56" s="592">
        <f t="shared" si="7"/>
        <v>0.019412624794909912</v>
      </c>
      <c r="K56" s="592">
        <f>I56/H56-1</f>
        <v>-0.05815717941080589</v>
      </c>
      <c r="L56" s="135">
        <f>L36+L44+L55</f>
        <v>442180</v>
      </c>
      <c r="M56" s="592">
        <f t="shared" si="6"/>
        <v>0.02290047238633301</v>
      </c>
      <c r="N56" s="593">
        <f t="shared" si="0"/>
        <v>0.1010951686081547</v>
      </c>
    </row>
    <row r="57" spans="1:14" ht="21" thickBot="1">
      <c r="A57" s="69"/>
      <c r="B57" s="70"/>
      <c r="C57" s="40"/>
      <c r="D57" s="40"/>
      <c r="E57" s="40"/>
      <c r="F57" s="40"/>
      <c r="G57" s="40"/>
      <c r="H57" s="136"/>
      <c r="I57" s="137"/>
      <c r="J57" s="576"/>
      <c r="K57" s="576"/>
      <c r="L57" s="594">
        <f>L60-L59</f>
        <v>19308772</v>
      </c>
      <c r="M57" s="595">
        <f t="shared" si="6"/>
        <v>1</v>
      </c>
      <c r="N57" s="596"/>
    </row>
    <row r="58" spans="1:14" ht="22.5">
      <c r="A58" s="138"/>
      <c r="B58" s="139"/>
      <c r="C58" s="140" t="s">
        <v>99</v>
      </c>
      <c r="D58" s="141"/>
      <c r="E58" s="141"/>
      <c r="F58" s="141"/>
      <c r="G58" s="142"/>
      <c r="H58" s="143">
        <f>H19+H28+H33+H56</f>
        <v>21615242</v>
      </c>
      <c r="I58" s="143">
        <f>I19+I28+I33+I56</f>
        <v>20686641</v>
      </c>
      <c r="J58" s="597">
        <f>I58/$I$58</f>
        <v>1</v>
      </c>
      <c r="K58" s="597">
        <f>I58/H58-1</f>
        <v>-0.04296047205948472</v>
      </c>
      <c r="L58" s="143">
        <f>L19+L28+L33+L56</f>
        <v>19308772</v>
      </c>
      <c r="M58" s="597">
        <f t="shared" si="6"/>
        <v>1</v>
      </c>
      <c r="N58" s="598">
        <f t="shared" si="0"/>
        <v>-0.06660670526452317</v>
      </c>
    </row>
    <row r="59" spans="1:14" ht="20.25">
      <c r="A59" s="144"/>
      <c r="B59" s="145"/>
      <c r="C59" s="146" t="s">
        <v>100</v>
      </c>
      <c r="D59" s="147"/>
      <c r="E59" s="147"/>
      <c r="F59" s="147"/>
      <c r="G59" s="147"/>
      <c r="H59" s="148"/>
      <c r="I59" s="149">
        <v>-525733</v>
      </c>
      <c r="J59" s="599"/>
      <c r="K59" s="599"/>
      <c r="L59" s="149">
        <v>-450000</v>
      </c>
      <c r="M59" s="599"/>
      <c r="N59" s="600"/>
    </row>
    <row r="60" spans="1:14" ht="20.25">
      <c r="A60" s="150"/>
      <c r="B60" s="151"/>
      <c r="C60" s="608" t="s">
        <v>101</v>
      </c>
      <c r="D60" s="609"/>
      <c r="E60" s="609"/>
      <c r="F60" s="609"/>
      <c r="G60" s="609"/>
      <c r="H60" s="148">
        <f>20815242+800000</f>
        <v>21615242</v>
      </c>
      <c r="I60" s="148">
        <v>20160908</v>
      </c>
      <c r="J60" s="599">
        <f>I60/$I$58</f>
        <v>0.9745858692090223</v>
      </c>
      <c r="K60" s="599">
        <f>I60/H60-1</f>
        <v>-0.06728279979470042</v>
      </c>
      <c r="L60" s="148">
        <v>18858772</v>
      </c>
      <c r="M60" s="599">
        <f>L60/$L$57</f>
        <v>0.9766945303409248</v>
      </c>
      <c r="N60" s="601">
        <f t="shared" si="0"/>
        <v>-0.06458717037942929</v>
      </c>
    </row>
    <row r="61" spans="1:14" ht="21" thickBot="1">
      <c r="A61" s="152"/>
      <c r="B61" s="153"/>
      <c r="C61" s="610" t="s">
        <v>102</v>
      </c>
      <c r="D61" s="611"/>
      <c r="E61" s="611"/>
      <c r="F61" s="611"/>
      <c r="G61" s="611"/>
      <c r="H61" s="154">
        <f>H60-H58</f>
        <v>0</v>
      </c>
      <c r="I61" s="155">
        <f>I60-I58-I59</f>
        <v>0</v>
      </c>
      <c r="J61" s="602"/>
      <c r="K61" s="602"/>
      <c r="L61" s="155"/>
      <c r="M61" s="602"/>
      <c r="N61" s="603"/>
    </row>
    <row r="62" spans="1:14" ht="20.25">
      <c r="A62" s="156"/>
      <c r="B62" s="156"/>
      <c r="C62" s="156"/>
      <c r="D62" s="156"/>
      <c r="E62" s="156"/>
      <c r="F62" s="156"/>
      <c r="G62" s="156"/>
      <c r="H62" s="157"/>
      <c r="I62" s="158"/>
      <c r="J62" s="159"/>
      <c r="K62" s="160"/>
      <c r="L62" s="160"/>
      <c r="M62" s="159"/>
      <c r="N62" s="160"/>
    </row>
    <row r="63" spans="1:14" ht="20.25">
      <c r="A63" s="161" t="s">
        <v>103</v>
      </c>
      <c r="B63" s="156"/>
      <c r="C63" s="156"/>
      <c r="D63" s="156"/>
      <c r="E63" s="156"/>
      <c r="F63" s="156"/>
      <c r="G63" s="158"/>
      <c r="H63" s="158"/>
      <c r="I63" s="158"/>
      <c r="J63" s="162"/>
      <c r="K63" s="158"/>
      <c r="L63" s="157"/>
      <c r="M63" s="162"/>
      <c r="N63" s="157"/>
    </row>
    <row r="64" spans="1:14" ht="23.25">
      <c r="A64" s="163"/>
      <c r="B64" s="163"/>
      <c r="C64" s="163"/>
      <c r="D64" s="163"/>
      <c r="E64" s="163"/>
      <c r="F64" s="163"/>
      <c r="G64" s="163"/>
      <c r="H64" s="163"/>
      <c r="I64" s="163"/>
      <c r="J64" s="164"/>
      <c r="K64" s="164"/>
      <c r="L64" s="164"/>
      <c r="M64" s="164"/>
      <c r="N64" s="164"/>
    </row>
    <row r="65" spans="1:14" ht="20.25">
      <c r="A65" s="163"/>
      <c r="B65" s="163"/>
      <c r="C65" s="163"/>
      <c r="D65" s="163"/>
      <c r="E65" s="163"/>
      <c r="F65" s="163"/>
      <c r="G65" s="163"/>
      <c r="H65" s="163"/>
      <c r="I65" s="163"/>
      <c r="J65" s="165"/>
      <c r="K65" s="163"/>
      <c r="L65" s="166"/>
      <c r="M65" s="165"/>
      <c r="N65" s="166"/>
    </row>
    <row r="66" spans="10:13" ht="20.25">
      <c r="J66" s="168"/>
      <c r="L66" s="169"/>
      <c r="M66" s="168"/>
    </row>
    <row r="67" spans="10:13" ht="20.25">
      <c r="J67" s="168"/>
      <c r="L67" s="169"/>
      <c r="M67" s="168"/>
    </row>
    <row r="68" spans="10:13" ht="20.25">
      <c r="J68" s="168"/>
      <c r="L68" s="169"/>
      <c r="M68" s="168"/>
    </row>
    <row r="69" spans="10:13" ht="20.25">
      <c r="J69" s="168"/>
      <c r="L69" s="169"/>
      <c r="M69" s="168"/>
    </row>
    <row r="70" ht="23.25">
      <c r="I70" s="170"/>
    </row>
    <row r="71" ht="23.25">
      <c r="I71" s="170"/>
    </row>
    <row r="72" ht="23.25">
      <c r="I72" s="170"/>
    </row>
    <row r="73" ht="23.25">
      <c r="I73" s="170"/>
    </row>
    <row r="74" ht="23.25">
      <c r="I74" s="170"/>
    </row>
    <row r="75" ht="23.25">
      <c r="I75" s="170"/>
    </row>
    <row r="76" ht="23.25">
      <c r="I76" s="170"/>
    </row>
    <row r="77" ht="23.25">
      <c r="I77" s="170"/>
    </row>
    <row r="78" ht="23.25">
      <c r="I78" s="170"/>
    </row>
    <row r="79" ht="23.25">
      <c r="I79" s="170"/>
    </row>
    <row r="80" ht="23.25">
      <c r="I80" s="170"/>
    </row>
    <row r="81" ht="23.25">
      <c r="I81" s="170"/>
    </row>
    <row r="82" ht="23.25">
      <c r="I82" s="170"/>
    </row>
    <row r="83" ht="23.25">
      <c r="I83" s="170"/>
    </row>
    <row r="84" ht="23.25">
      <c r="I84" s="170"/>
    </row>
    <row r="85" ht="23.25">
      <c r="I85" s="170"/>
    </row>
    <row r="86" ht="23.25">
      <c r="I86" s="170"/>
    </row>
    <row r="87" ht="23.25">
      <c r="I87" s="170"/>
    </row>
    <row r="88" ht="23.25">
      <c r="I88" s="170"/>
    </row>
    <row r="89" ht="23.25">
      <c r="I89" s="170"/>
    </row>
    <row r="90" ht="23.25">
      <c r="I90" s="170"/>
    </row>
    <row r="91" ht="23.25">
      <c r="I91" s="170"/>
    </row>
    <row r="92" ht="23.25">
      <c r="I92" s="170"/>
    </row>
    <row r="93" ht="23.25">
      <c r="I93" s="170"/>
    </row>
    <row r="94" ht="23.25">
      <c r="I94" s="170"/>
    </row>
    <row r="95" ht="23.25">
      <c r="I95" s="170"/>
    </row>
  </sheetData>
  <sheetProtection/>
  <mergeCells count="39">
    <mergeCell ref="A1:N1"/>
    <mergeCell ref="A4:D4"/>
    <mergeCell ref="I4:J4"/>
    <mergeCell ref="A5:D5"/>
    <mergeCell ref="I5:J5"/>
    <mergeCell ref="A6:D6"/>
    <mergeCell ref="I6:J6"/>
    <mergeCell ref="A7:D7"/>
    <mergeCell ref="I7:J7"/>
    <mergeCell ref="A8:H8"/>
    <mergeCell ref="I8:J8"/>
    <mergeCell ref="A9:I9"/>
    <mergeCell ref="A10:A12"/>
    <mergeCell ref="B10:B12"/>
    <mergeCell ref="C10:G12"/>
    <mergeCell ref="H10:H12"/>
    <mergeCell ref="I10:I12"/>
    <mergeCell ref="J10:J12"/>
    <mergeCell ref="K10:K12"/>
    <mergeCell ref="L10:L12"/>
    <mergeCell ref="M10:M12"/>
    <mergeCell ref="N10:N12"/>
    <mergeCell ref="C13:G13"/>
    <mergeCell ref="C16:G16"/>
    <mergeCell ref="C17:G17"/>
    <mergeCell ref="C18:G18"/>
    <mergeCell ref="C19:G19"/>
    <mergeCell ref="C22:G22"/>
    <mergeCell ref="C23:G23"/>
    <mergeCell ref="C32:G32"/>
    <mergeCell ref="C33:G33"/>
    <mergeCell ref="C60:G60"/>
    <mergeCell ref="C61:G61"/>
    <mergeCell ref="C24:G24"/>
    <mergeCell ref="C25:G25"/>
    <mergeCell ref="C26:G26"/>
    <mergeCell ref="C27:G27"/>
    <mergeCell ref="C28:G28"/>
    <mergeCell ref="C31:G31"/>
  </mergeCells>
  <printOptions horizontalCentered="1"/>
  <pageMargins left="0.7480314960629921" right="0.7874015748031497" top="0.8661417322834646" bottom="0.7480314960629921" header="0.5905511811023623" footer="0.1968503937007874"/>
  <pageSetup fitToHeight="1" fitToWidth="1" horizontalDpi="600" verticalDpi="600" orientation="portrait" paperSize="9" scale="48" r:id="rId3"/>
  <headerFooter alignWithMargins="0">
    <oddHeader>&amp;R&amp;"Arial CE,Kurzíva"&amp;14Kapitola B.3.I.1
&amp;"Arial CE,Tučné"Tabulka č.2</oddHeader>
  </headerFooter>
  <colBreaks count="1" manualBreakCount="1">
    <brk id="3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C40" sqref="C40"/>
    </sheetView>
  </sheetViews>
  <sheetFormatPr defaultColWidth="9.140625" defaultRowHeight="12.75"/>
  <cols>
    <col min="1" max="1" width="9.7109375" style="1" customWidth="1"/>
    <col min="2" max="2" width="14.57421875" style="1" customWidth="1"/>
    <col min="3" max="3" width="14.00390625" style="1" customWidth="1"/>
    <col min="4" max="4" width="13.421875" style="1" customWidth="1"/>
    <col min="5" max="5" width="13.28125" style="1" customWidth="1"/>
    <col min="6" max="7" width="15.28125" style="1" customWidth="1"/>
    <col min="8" max="8" width="13.140625" style="1" customWidth="1"/>
    <col min="9" max="9" width="13.28125" style="1" customWidth="1"/>
    <col min="10" max="10" width="12.28125" style="1" customWidth="1"/>
    <col min="11" max="11" width="12.57421875" style="1" customWidth="1"/>
    <col min="12" max="16384" width="9.140625" style="1" customWidth="1"/>
  </cols>
  <sheetData>
    <row r="1" spans="1:6" ht="19.5">
      <c r="A1" s="171" t="s">
        <v>104</v>
      </c>
      <c r="B1" s="171"/>
      <c r="C1" s="171"/>
      <c r="D1" s="171"/>
      <c r="E1" s="171"/>
      <c r="F1" s="171"/>
    </row>
    <row r="2" spans="1:6" ht="15.75" customHeight="1">
      <c r="A2" s="172"/>
      <c r="B2" s="172"/>
      <c r="C2" s="172"/>
      <c r="D2" s="172"/>
      <c r="E2" s="172"/>
      <c r="F2" s="172"/>
    </row>
    <row r="3" spans="1:6" ht="14.25">
      <c r="A3" s="173" t="s">
        <v>105</v>
      </c>
      <c r="B3" s="174"/>
      <c r="C3" s="174"/>
      <c r="D3" s="174"/>
      <c r="E3" s="174"/>
      <c r="F3" s="174"/>
    </row>
    <row r="4" spans="1:11" ht="13.5" thickBot="1">
      <c r="A4" s="175"/>
      <c r="B4" s="175"/>
      <c r="C4" s="175"/>
      <c r="D4" s="175"/>
      <c r="E4" s="176"/>
      <c r="F4" s="177"/>
      <c r="K4" s="177" t="s">
        <v>106</v>
      </c>
    </row>
    <row r="5" spans="1:11" ht="26.25" thickBot="1">
      <c r="A5" s="178" t="s">
        <v>107</v>
      </c>
      <c r="B5" s="179" t="s">
        <v>108</v>
      </c>
      <c r="C5" s="179" t="s">
        <v>109</v>
      </c>
      <c r="D5" s="179" t="s">
        <v>110</v>
      </c>
      <c r="E5" s="180" t="s">
        <v>111</v>
      </c>
      <c r="F5" s="180" t="s">
        <v>112</v>
      </c>
      <c r="G5" s="180" t="s">
        <v>113</v>
      </c>
      <c r="H5" s="180" t="s">
        <v>114</v>
      </c>
      <c r="I5" s="180" t="s">
        <v>115</v>
      </c>
      <c r="J5" s="180" t="s">
        <v>116</v>
      </c>
      <c r="K5" s="181" t="s">
        <v>117</v>
      </c>
    </row>
    <row r="6" spans="1:11" ht="12.75" customHeight="1">
      <c r="A6" s="182">
        <v>11000</v>
      </c>
      <c r="B6" s="183" t="s">
        <v>118</v>
      </c>
      <c r="C6" s="184">
        <v>1771459</v>
      </c>
      <c r="D6" s="184">
        <v>710850.2222655349</v>
      </c>
      <c r="E6" s="184">
        <v>256432</v>
      </c>
      <c r="F6" s="184">
        <v>19929</v>
      </c>
      <c r="G6" s="184">
        <v>103615</v>
      </c>
      <c r="H6" s="184">
        <v>3768</v>
      </c>
      <c r="I6" s="184">
        <v>9048</v>
      </c>
      <c r="J6" s="184">
        <v>28994</v>
      </c>
      <c r="K6" s="185">
        <v>138898</v>
      </c>
    </row>
    <row r="7" spans="1:11" ht="12.75" customHeight="1">
      <c r="A7" s="186">
        <v>12000</v>
      </c>
      <c r="B7" s="187" t="s">
        <v>119</v>
      </c>
      <c r="C7" s="188">
        <v>438883</v>
      </c>
      <c r="D7" s="188">
        <v>93945.78865604724</v>
      </c>
      <c r="E7" s="188">
        <v>28483</v>
      </c>
      <c r="F7" s="188">
        <v>7787</v>
      </c>
      <c r="G7" s="188">
        <v>28645</v>
      </c>
      <c r="H7" s="188">
        <v>982</v>
      </c>
      <c r="I7" s="188">
        <v>692</v>
      </c>
      <c r="J7" s="188">
        <v>7710</v>
      </c>
      <c r="K7" s="189">
        <v>24630</v>
      </c>
    </row>
    <row r="8" spans="1:11" ht="12.75" customHeight="1">
      <c r="A8" s="186">
        <v>13000</v>
      </c>
      <c r="B8" s="187" t="s">
        <v>120</v>
      </c>
      <c r="C8" s="188">
        <v>359392</v>
      </c>
      <c r="D8" s="188">
        <v>56512.38776594817</v>
      </c>
      <c r="E8" s="188">
        <v>4733</v>
      </c>
      <c r="F8" s="188">
        <v>580</v>
      </c>
      <c r="G8" s="188">
        <v>24292</v>
      </c>
      <c r="H8" s="188">
        <v>792</v>
      </c>
      <c r="I8" s="188"/>
      <c r="J8" s="188">
        <v>3765</v>
      </c>
      <c r="K8" s="189">
        <v>21463</v>
      </c>
    </row>
    <row r="9" spans="1:11" ht="12.75" customHeight="1">
      <c r="A9" s="186">
        <v>14000</v>
      </c>
      <c r="B9" s="187" t="s">
        <v>121</v>
      </c>
      <c r="C9" s="188">
        <v>1364381</v>
      </c>
      <c r="D9" s="188">
        <v>380140.4439659626</v>
      </c>
      <c r="E9" s="188">
        <v>143246</v>
      </c>
      <c r="F9" s="188">
        <v>27575</v>
      </c>
      <c r="G9" s="188">
        <v>101543</v>
      </c>
      <c r="H9" s="188">
        <v>1475</v>
      </c>
      <c r="I9" s="188">
        <v>17074</v>
      </c>
      <c r="J9" s="188">
        <v>9858</v>
      </c>
      <c r="K9" s="189">
        <v>92843</v>
      </c>
    </row>
    <row r="10" spans="1:11" ht="12.75" customHeight="1">
      <c r="A10" s="186">
        <v>15000</v>
      </c>
      <c r="B10" s="187" t="s">
        <v>122</v>
      </c>
      <c r="C10" s="188">
        <v>769172</v>
      </c>
      <c r="D10" s="188">
        <v>193881.62157349542</v>
      </c>
      <c r="E10" s="188">
        <v>57215</v>
      </c>
      <c r="F10" s="188">
        <v>9064</v>
      </c>
      <c r="G10" s="188">
        <v>54252</v>
      </c>
      <c r="H10" s="188">
        <v>802</v>
      </c>
      <c r="I10" s="188">
        <v>2197</v>
      </c>
      <c r="J10" s="188">
        <v>9988</v>
      </c>
      <c r="K10" s="189">
        <v>49439</v>
      </c>
    </row>
    <row r="11" spans="1:11" ht="12.75" customHeight="1">
      <c r="A11" s="186">
        <v>16000</v>
      </c>
      <c r="B11" s="187" t="s">
        <v>123</v>
      </c>
      <c r="C11" s="188">
        <v>207016</v>
      </c>
      <c r="D11" s="188">
        <v>37052.956107592625</v>
      </c>
      <c r="E11" s="188">
        <v>13287</v>
      </c>
      <c r="F11" s="188">
        <v>0</v>
      </c>
      <c r="G11" s="188">
        <v>10268</v>
      </c>
      <c r="H11" s="188">
        <v>174</v>
      </c>
      <c r="I11" s="188"/>
      <c r="J11" s="188">
        <v>2684</v>
      </c>
      <c r="K11" s="189">
        <v>9050</v>
      </c>
    </row>
    <row r="12" spans="1:11" ht="12.75" customHeight="1">
      <c r="A12" s="186">
        <v>17000</v>
      </c>
      <c r="B12" s="187" t="s">
        <v>124</v>
      </c>
      <c r="C12" s="188">
        <v>336799</v>
      </c>
      <c r="D12" s="188">
        <v>70695.26328669864</v>
      </c>
      <c r="E12" s="188">
        <v>11294</v>
      </c>
      <c r="F12" s="188">
        <v>2190</v>
      </c>
      <c r="G12" s="188">
        <v>22199</v>
      </c>
      <c r="H12" s="188">
        <v>671</v>
      </c>
      <c r="I12" s="188">
        <v>1339</v>
      </c>
      <c r="J12" s="188">
        <v>5131</v>
      </c>
      <c r="K12" s="189">
        <v>19761</v>
      </c>
    </row>
    <row r="13" spans="1:11" ht="12.75" customHeight="1">
      <c r="A13" s="186">
        <v>18000</v>
      </c>
      <c r="B13" s="187" t="s">
        <v>125</v>
      </c>
      <c r="C13" s="188">
        <v>244215</v>
      </c>
      <c r="D13" s="188">
        <v>46002.55758535193</v>
      </c>
      <c r="E13" s="188">
        <v>4650</v>
      </c>
      <c r="F13" s="188">
        <v>383</v>
      </c>
      <c r="G13" s="188">
        <v>19054</v>
      </c>
      <c r="H13" s="188">
        <v>330</v>
      </c>
      <c r="I13" s="188">
        <v>803</v>
      </c>
      <c r="J13" s="188">
        <v>5271</v>
      </c>
      <c r="K13" s="189">
        <v>16375</v>
      </c>
    </row>
    <row r="14" spans="1:11" ht="12.75" customHeight="1">
      <c r="A14" s="186">
        <v>19000</v>
      </c>
      <c r="B14" s="187" t="s">
        <v>126</v>
      </c>
      <c r="C14" s="188">
        <v>234860</v>
      </c>
      <c r="D14" s="188">
        <v>35894.38929727653</v>
      </c>
      <c r="E14" s="188">
        <v>6477</v>
      </c>
      <c r="F14" s="188">
        <v>5931</v>
      </c>
      <c r="G14" s="188">
        <v>14733</v>
      </c>
      <c r="H14" s="188">
        <v>814</v>
      </c>
      <c r="I14" s="188"/>
      <c r="J14" s="188">
        <v>5989</v>
      </c>
      <c r="K14" s="189">
        <v>13434</v>
      </c>
    </row>
    <row r="15" spans="1:11" ht="12.75" customHeight="1">
      <c r="A15" s="186">
        <v>21000</v>
      </c>
      <c r="B15" s="187" t="s">
        <v>127</v>
      </c>
      <c r="C15" s="188">
        <v>959301</v>
      </c>
      <c r="D15" s="188">
        <v>298050.27334492246</v>
      </c>
      <c r="E15" s="188">
        <v>96826</v>
      </c>
      <c r="F15" s="188">
        <v>22083</v>
      </c>
      <c r="G15" s="188">
        <v>65856</v>
      </c>
      <c r="H15" s="188">
        <v>817</v>
      </c>
      <c r="I15" s="188">
        <v>1959</v>
      </c>
      <c r="J15" s="188">
        <v>37532</v>
      </c>
      <c r="K15" s="189">
        <v>67016</v>
      </c>
    </row>
    <row r="16" spans="1:11" ht="12.75" customHeight="1">
      <c r="A16" s="186">
        <v>22000</v>
      </c>
      <c r="B16" s="187" t="s">
        <v>128</v>
      </c>
      <c r="C16" s="188">
        <v>221131</v>
      </c>
      <c r="D16" s="188">
        <v>77199.25876746366</v>
      </c>
      <c r="E16" s="188">
        <v>39694</v>
      </c>
      <c r="F16" s="188">
        <v>2042</v>
      </c>
      <c r="G16" s="188">
        <v>10531</v>
      </c>
      <c r="H16" s="188">
        <v>322</v>
      </c>
      <c r="I16" s="188"/>
      <c r="J16" s="188">
        <v>10532</v>
      </c>
      <c r="K16" s="189">
        <v>14371</v>
      </c>
    </row>
    <row r="17" spans="1:11" ht="12.75" customHeight="1">
      <c r="A17" s="186">
        <v>23000</v>
      </c>
      <c r="B17" s="187" t="s">
        <v>129</v>
      </c>
      <c r="C17" s="188">
        <v>519306</v>
      </c>
      <c r="D17" s="188">
        <v>115972.07381190696</v>
      </c>
      <c r="E17" s="188">
        <v>31307</v>
      </c>
      <c r="F17" s="188">
        <v>10470</v>
      </c>
      <c r="G17" s="188">
        <v>42364</v>
      </c>
      <c r="H17" s="188">
        <v>1320</v>
      </c>
      <c r="I17" s="188">
        <v>1982</v>
      </c>
      <c r="J17" s="188">
        <v>6046</v>
      </c>
      <c r="K17" s="189">
        <v>33813</v>
      </c>
    </row>
    <row r="18" spans="1:11" ht="12.75" customHeight="1">
      <c r="A18" s="186">
        <v>24000</v>
      </c>
      <c r="B18" s="187" t="s">
        <v>130</v>
      </c>
      <c r="C18" s="188">
        <v>299179</v>
      </c>
      <c r="D18" s="188">
        <v>64176.61851662367</v>
      </c>
      <c r="E18" s="188">
        <v>15446</v>
      </c>
      <c r="F18" s="188">
        <v>4500</v>
      </c>
      <c r="G18" s="188">
        <v>19413</v>
      </c>
      <c r="H18" s="188">
        <v>620</v>
      </c>
      <c r="I18" s="188"/>
      <c r="J18" s="188">
        <v>7459</v>
      </c>
      <c r="K18" s="189">
        <v>20832</v>
      </c>
    </row>
    <row r="19" spans="1:11" ht="12.75" customHeight="1">
      <c r="A19" s="186">
        <v>25000</v>
      </c>
      <c r="B19" s="187" t="s">
        <v>131</v>
      </c>
      <c r="C19" s="188">
        <v>385972</v>
      </c>
      <c r="D19" s="188">
        <v>76005.4205954723</v>
      </c>
      <c r="E19" s="188">
        <v>18767</v>
      </c>
      <c r="F19" s="188">
        <v>4778</v>
      </c>
      <c r="G19" s="188">
        <v>28908</v>
      </c>
      <c r="H19" s="188">
        <v>218</v>
      </c>
      <c r="I19" s="188">
        <v>268</v>
      </c>
      <c r="J19" s="188">
        <v>10722</v>
      </c>
      <c r="K19" s="189">
        <v>22265</v>
      </c>
    </row>
    <row r="20" spans="1:11" ht="12.75" customHeight="1">
      <c r="A20" s="186">
        <v>26000</v>
      </c>
      <c r="B20" s="187" t="s">
        <v>132</v>
      </c>
      <c r="C20" s="188">
        <v>841307</v>
      </c>
      <c r="D20" s="188">
        <v>221714.9548649006</v>
      </c>
      <c r="E20" s="188">
        <v>93006</v>
      </c>
      <c r="F20" s="188">
        <v>30679</v>
      </c>
      <c r="G20" s="188">
        <v>76784</v>
      </c>
      <c r="H20" s="188">
        <v>1048</v>
      </c>
      <c r="I20" s="188"/>
      <c r="J20" s="188">
        <v>45902</v>
      </c>
      <c r="K20" s="189">
        <v>52188</v>
      </c>
    </row>
    <row r="21" spans="1:11" ht="12.75" customHeight="1">
      <c r="A21" s="186">
        <v>27000</v>
      </c>
      <c r="B21" s="187" t="s">
        <v>133</v>
      </c>
      <c r="C21" s="188">
        <v>752677</v>
      </c>
      <c r="D21" s="188">
        <v>116887.03760873075</v>
      </c>
      <c r="E21" s="188">
        <v>50074</v>
      </c>
      <c r="F21" s="188">
        <v>9245</v>
      </c>
      <c r="G21" s="188">
        <v>48600</v>
      </c>
      <c r="H21" s="188">
        <v>544</v>
      </c>
      <c r="I21" s="188">
        <v>878</v>
      </c>
      <c r="J21" s="188">
        <v>21770</v>
      </c>
      <c r="K21" s="189">
        <v>44819</v>
      </c>
    </row>
    <row r="22" spans="1:11" ht="12.75" customHeight="1">
      <c r="A22" s="186">
        <v>28000</v>
      </c>
      <c r="B22" s="187" t="s">
        <v>134</v>
      </c>
      <c r="C22" s="188">
        <v>477636</v>
      </c>
      <c r="D22" s="188">
        <v>79120.54901957772</v>
      </c>
      <c r="E22" s="188">
        <v>19681</v>
      </c>
      <c r="F22" s="188">
        <v>3900</v>
      </c>
      <c r="G22" s="188">
        <v>22494</v>
      </c>
      <c r="H22" s="188">
        <v>471</v>
      </c>
      <c r="I22" s="188"/>
      <c r="J22" s="188">
        <v>5796</v>
      </c>
      <c r="K22" s="189">
        <v>23844</v>
      </c>
    </row>
    <row r="23" spans="1:11" ht="12.75" customHeight="1">
      <c r="A23" s="186">
        <v>31000</v>
      </c>
      <c r="B23" s="187" t="s">
        <v>135</v>
      </c>
      <c r="C23" s="188">
        <v>464509</v>
      </c>
      <c r="D23" s="188">
        <v>105980.02496712719</v>
      </c>
      <c r="E23" s="188">
        <v>25743</v>
      </c>
      <c r="F23" s="188">
        <v>6573</v>
      </c>
      <c r="G23" s="188">
        <v>51719</v>
      </c>
      <c r="H23" s="188">
        <v>1286</v>
      </c>
      <c r="I23" s="188">
        <v>1361</v>
      </c>
      <c r="J23" s="188">
        <v>848</v>
      </c>
      <c r="K23" s="189">
        <v>34975</v>
      </c>
    </row>
    <row r="24" spans="1:11" ht="12.75" customHeight="1">
      <c r="A24" s="186">
        <v>41000</v>
      </c>
      <c r="B24" s="187" t="s">
        <v>136</v>
      </c>
      <c r="C24" s="188">
        <v>749416</v>
      </c>
      <c r="D24" s="188">
        <v>123903.53831518358</v>
      </c>
      <c r="E24" s="188">
        <v>44510</v>
      </c>
      <c r="F24" s="188">
        <v>5270</v>
      </c>
      <c r="G24" s="188">
        <v>38644</v>
      </c>
      <c r="H24" s="188">
        <v>836</v>
      </c>
      <c r="I24" s="188">
        <v>1497</v>
      </c>
      <c r="J24" s="188">
        <v>10471</v>
      </c>
      <c r="K24" s="189">
        <v>39539</v>
      </c>
    </row>
    <row r="25" spans="1:11" ht="12.75" customHeight="1">
      <c r="A25" s="186">
        <v>43000</v>
      </c>
      <c r="B25" s="187" t="s">
        <v>137</v>
      </c>
      <c r="C25" s="188">
        <v>430838</v>
      </c>
      <c r="D25" s="188">
        <v>81930.9628642111</v>
      </c>
      <c r="E25" s="188">
        <v>27902</v>
      </c>
      <c r="F25" s="188">
        <v>6418</v>
      </c>
      <c r="G25" s="188">
        <v>31474</v>
      </c>
      <c r="H25" s="188">
        <v>1390</v>
      </c>
      <c r="I25" s="188"/>
      <c r="J25" s="188">
        <v>11016</v>
      </c>
      <c r="K25" s="189">
        <v>24389</v>
      </c>
    </row>
    <row r="26" spans="1:11" ht="12.75" customHeight="1">
      <c r="A26" s="186">
        <v>51000</v>
      </c>
      <c r="B26" s="187" t="s">
        <v>138</v>
      </c>
      <c r="C26" s="188">
        <v>179619</v>
      </c>
      <c r="D26" s="188">
        <v>45759.48335202043</v>
      </c>
      <c r="E26" s="188">
        <v>4318</v>
      </c>
      <c r="F26" s="188">
        <v>0</v>
      </c>
      <c r="G26" s="188">
        <v>2914</v>
      </c>
      <c r="H26" s="188"/>
      <c r="I26" s="188"/>
      <c r="J26" s="188">
        <v>4432</v>
      </c>
      <c r="K26" s="189">
        <v>10716</v>
      </c>
    </row>
    <row r="27" spans="1:11" ht="12.75" customHeight="1">
      <c r="A27" s="186">
        <v>52000</v>
      </c>
      <c r="B27" s="187" t="s">
        <v>139</v>
      </c>
      <c r="C27" s="188">
        <v>46165</v>
      </c>
      <c r="D27" s="188">
        <v>12342.417939901758</v>
      </c>
      <c r="E27" s="188">
        <v>1329</v>
      </c>
      <c r="F27" s="188">
        <v>0</v>
      </c>
      <c r="G27" s="188">
        <v>869</v>
      </c>
      <c r="H27" s="188"/>
      <c r="I27" s="188"/>
      <c r="J27" s="188">
        <v>200</v>
      </c>
      <c r="K27" s="189">
        <v>2395</v>
      </c>
    </row>
    <row r="28" spans="1:11" ht="12.75" customHeight="1">
      <c r="A28" s="186">
        <v>53000</v>
      </c>
      <c r="B28" s="187" t="s">
        <v>140</v>
      </c>
      <c r="C28" s="188">
        <v>59485</v>
      </c>
      <c r="D28" s="188">
        <v>17333.937302574373</v>
      </c>
      <c r="E28" s="188">
        <v>1412</v>
      </c>
      <c r="F28" s="188">
        <v>0</v>
      </c>
      <c r="G28" s="188">
        <v>1154</v>
      </c>
      <c r="H28" s="188"/>
      <c r="I28" s="188"/>
      <c r="J28" s="188">
        <v>208</v>
      </c>
      <c r="K28" s="189">
        <v>3041</v>
      </c>
    </row>
    <row r="29" spans="1:11" ht="12.75" customHeight="1">
      <c r="A29" s="186">
        <v>54000</v>
      </c>
      <c r="B29" s="187" t="s">
        <v>141</v>
      </c>
      <c r="C29" s="188">
        <v>98475</v>
      </c>
      <c r="D29" s="188">
        <v>24971.275314853578</v>
      </c>
      <c r="E29" s="188">
        <v>2989</v>
      </c>
      <c r="F29" s="188">
        <v>0</v>
      </c>
      <c r="G29" s="188">
        <v>2222</v>
      </c>
      <c r="H29" s="188"/>
      <c r="I29" s="188">
        <v>902</v>
      </c>
      <c r="J29" s="188">
        <v>3894</v>
      </c>
      <c r="K29" s="189">
        <v>5063</v>
      </c>
    </row>
    <row r="30" spans="1:11" ht="12.75" customHeight="1">
      <c r="A30" s="186">
        <v>55000</v>
      </c>
      <c r="B30" s="187" t="s">
        <v>142</v>
      </c>
      <c r="C30" s="188">
        <v>86196</v>
      </c>
      <c r="D30" s="188">
        <v>7538.777898251241</v>
      </c>
      <c r="E30" s="188">
        <v>0</v>
      </c>
      <c r="F30" s="188">
        <v>896</v>
      </c>
      <c r="G30" s="188">
        <v>7691</v>
      </c>
      <c r="H30" s="188">
        <v>320</v>
      </c>
      <c r="I30" s="188"/>
      <c r="J30" s="188">
        <v>110</v>
      </c>
      <c r="K30" s="189">
        <v>4522</v>
      </c>
    </row>
    <row r="31" spans="1:11" ht="12.75" customHeight="1" thickBot="1">
      <c r="A31" s="190">
        <v>56000</v>
      </c>
      <c r="B31" s="191" t="s">
        <v>143</v>
      </c>
      <c r="C31" s="192">
        <v>85195</v>
      </c>
      <c r="D31" s="192">
        <v>1783.7650123710068</v>
      </c>
      <c r="E31" s="192">
        <v>0</v>
      </c>
      <c r="F31" s="192">
        <v>336</v>
      </c>
      <c r="G31" s="192">
        <v>5072</v>
      </c>
      <c r="H31" s="192"/>
      <c r="I31" s="192"/>
      <c r="J31" s="192">
        <v>120</v>
      </c>
      <c r="K31" s="193">
        <v>2618</v>
      </c>
    </row>
    <row r="32" spans="1:11" ht="13.5" thickBot="1">
      <c r="A32" s="667" t="s">
        <v>144</v>
      </c>
      <c r="B32" s="668"/>
      <c r="C32" s="194">
        <f aca="true" t="shared" si="0" ref="C32:K32">SUM(C6:C31)</f>
        <v>12382584</v>
      </c>
      <c r="D32" s="194">
        <f t="shared" si="0"/>
        <v>3095646</v>
      </c>
      <c r="E32" s="194">
        <f t="shared" si="0"/>
        <v>998821</v>
      </c>
      <c r="F32" s="194">
        <f t="shared" si="0"/>
        <v>180629</v>
      </c>
      <c r="G32" s="194">
        <f t="shared" si="0"/>
        <v>835310</v>
      </c>
      <c r="H32" s="194">
        <f t="shared" si="0"/>
        <v>19000</v>
      </c>
      <c r="I32" s="194">
        <f t="shared" si="0"/>
        <v>40000</v>
      </c>
      <c r="J32" s="194">
        <f t="shared" si="0"/>
        <v>256448</v>
      </c>
      <c r="K32" s="195">
        <f t="shared" si="0"/>
        <v>792299</v>
      </c>
    </row>
    <row r="33" spans="1:6" ht="12.75">
      <c r="A33" s="175"/>
      <c r="B33" s="175"/>
      <c r="C33" s="175"/>
      <c r="D33" s="175"/>
      <c r="E33" s="175"/>
      <c r="F33" s="175"/>
    </row>
    <row r="34" spans="1:11" ht="27.75" customHeight="1">
      <c r="A34" s="669" t="s">
        <v>145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</row>
    <row r="35" spans="1:11" ht="27" customHeight="1">
      <c r="A35" s="669" t="s">
        <v>146</v>
      </c>
      <c r="B35" s="669"/>
      <c r="C35" s="669"/>
      <c r="D35" s="669"/>
      <c r="E35" s="669"/>
      <c r="F35" s="669"/>
      <c r="G35" s="669"/>
      <c r="H35" s="669"/>
      <c r="I35" s="669"/>
      <c r="J35" s="669"/>
      <c r="K35" s="669"/>
    </row>
    <row r="36" ht="12.75">
      <c r="K36" s="3"/>
    </row>
  </sheetData>
  <sheetProtection/>
  <mergeCells count="3">
    <mergeCell ref="A32:B32"/>
    <mergeCell ref="A34:K34"/>
    <mergeCell ref="A35:K35"/>
  </mergeCells>
  <printOptions horizontalCentered="1"/>
  <pageMargins left="0.7480314960629921" right="0.7874015748031497" top="1.062992125984252" bottom="0.9448818897637796" header="0.5905511811023623" footer="0.1968503937007874"/>
  <pageSetup fitToHeight="1" fitToWidth="1" horizontalDpi="600" verticalDpi="600" orientation="landscape" paperSize="9" scale="90" r:id="rId2"/>
  <headerFooter alignWithMargins="0">
    <oddHeader>&amp;R&amp;"Arial CE,Kurzíva"Kapitola B.3.I.1
&amp;"Arial CE,Tučné"Tabulka č.3</oddHeader>
  </headerFooter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6"/>
  <sheetViews>
    <sheetView zoomScale="70" zoomScaleNormal="70" workbookViewId="0" topLeftCell="A1">
      <selection activeCell="P12" sqref="P12"/>
    </sheetView>
  </sheetViews>
  <sheetFormatPr defaultColWidth="9.140625" defaultRowHeight="12.75"/>
  <cols>
    <col min="1" max="1" width="22.57421875" style="204" customWidth="1"/>
    <col min="2" max="2" width="15.00390625" style="204" customWidth="1"/>
    <col min="3" max="3" width="18.140625" style="203" customWidth="1"/>
    <col min="4" max="4" width="24.140625" style="204" customWidth="1"/>
    <col min="5" max="5" width="16.00390625" style="204" customWidth="1"/>
    <col min="6" max="6" width="14.00390625" style="204" customWidth="1"/>
    <col min="7" max="7" width="16.57421875" style="204" customWidth="1"/>
    <col min="8" max="8" width="15.28125" style="204" customWidth="1"/>
    <col min="9" max="9" width="13.28125" style="205" customWidth="1"/>
    <col min="10" max="10" width="16.140625" style="204" customWidth="1"/>
    <col min="11" max="11" width="13.57421875" style="204" customWidth="1"/>
    <col min="12" max="12" width="10.421875" style="206" customWidth="1"/>
    <col min="13" max="13" width="12.7109375" style="204" customWidth="1"/>
    <col min="14" max="14" width="13.00390625" style="207" customWidth="1"/>
    <col min="15" max="15" width="10.421875" style="199" bestFit="1" customWidth="1"/>
    <col min="16" max="16" width="9.140625" style="199" customWidth="1"/>
    <col min="17" max="16384" width="9.140625" style="204" customWidth="1"/>
  </cols>
  <sheetData>
    <row r="1" spans="1:16" s="200" customFormat="1" ht="32.25" customHeight="1">
      <c r="A1" s="196" t="s">
        <v>147</v>
      </c>
      <c r="B1" s="197"/>
      <c r="C1" s="198"/>
      <c r="D1" s="197"/>
      <c r="E1" s="199"/>
      <c r="O1" s="199"/>
      <c r="P1" s="199"/>
    </row>
    <row r="2" spans="1:5" ht="21" customHeight="1">
      <c r="A2" s="201" t="s">
        <v>148</v>
      </c>
      <c r="B2" s="202" t="s">
        <v>149</v>
      </c>
      <c r="D2" s="203"/>
      <c r="E2" s="199"/>
    </row>
    <row r="3" spans="1:5" ht="15.75" customHeight="1">
      <c r="A3" s="670" t="s">
        <v>150</v>
      </c>
      <c r="B3" s="670"/>
      <c r="D3" s="203"/>
      <c r="E3" s="199"/>
    </row>
    <row r="4" spans="1:14" ht="13.5" customHeight="1">
      <c r="A4" s="208" t="s">
        <v>151</v>
      </c>
      <c r="B4" s="204" t="s">
        <v>152</v>
      </c>
      <c r="D4" s="203"/>
      <c r="E4" s="671" t="s">
        <v>153</v>
      </c>
      <c r="F4" s="671"/>
      <c r="G4" s="671"/>
      <c r="H4" s="671"/>
      <c r="I4" s="671"/>
      <c r="J4" s="671"/>
      <c r="K4" s="671"/>
      <c r="L4" s="671"/>
      <c r="M4" s="671"/>
      <c r="N4" s="671"/>
    </row>
    <row r="5" spans="1:14" ht="13.5" customHeight="1">
      <c r="A5" s="208" t="s">
        <v>154</v>
      </c>
      <c r="B5" s="204" t="s">
        <v>155</v>
      </c>
      <c r="D5" s="203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6" spans="1:13" ht="12.75" customHeight="1">
      <c r="A6" s="208" t="s">
        <v>156</v>
      </c>
      <c r="B6" s="204" t="s">
        <v>157</v>
      </c>
      <c r="D6" s="203"/>
      <c r="E6" s="209"/>
      <c r="F6" s="209"/>
      <c r="G6" s="209"/>
      <c r="H6" s="209"/>
      <c r="I6" s="209"/>
      <c r="J6" s="209"/>
      <c r="K6" s="209"/>
      <c r="L6" s="209"/>
      <c r="M6" s="209"/>
    </row>
    <row r="7" spans="1:12" ht="12.75" customHeight="1">
      <c r="A7" s="208" t="s">
        <v>158</v>
      </c>
      <c r="B7" s="204" t="s">
        <v>159</v>
      </c>
      <c r="D7" s="203"/>
      <c r="E7" s="2" t="s">
        <v>160</v>
      </c>
      <c r="G7" s="209"/>
      <c r="H7" s="209"/>
      <c r="I7" s="209"/>
      <c r="J7" s="209"/>
      <c r="K7" s="209"/>
      <c r="L7" s="209"/>
    </row>
    <row r="8" spans="1:5" ht="12.75">
      <c r="A8" s="208" t="s">
        <v>161</v>
      </c>
      <c r="B8" s="204" t="s">
        <v>162</v>
      </c>
      <c r="D8" s="203"/>
      <c r="E8" s="2" t="s">
        <v>163</v>
      </c>
    </row>
    <row r="9" spans="1:12" ht="12.75">
      <c r="A9" s="199"/>
      <c r="B9" s="199"/>
      <c r="C9" s="210"/>
      <c r="D9" s="199"/>
      <c r="E9" s="561" t="s">
        <v>354</v>
      </c>
      <c r="G9" s="199"/>
      <c r="H9" s="199"/>
      <c r="I9" s="199"/>
      <c r="J9" s="199"/>
      <c r="K9" s="199"/>
      <c r="L9" s="199"/>
    </row>
    <row r="10" spans="1:12" ht="12.75">
      <c r="A10" s="199"/>
      <c r="B10" s="199"/>
      <c r="C10" s="210"/>
      <c r="D10" s="199"/>
      <c r="E10" s="2" t="s">
        <v>164</v>
      </c>
      <c r="G10" s="199"/>
      <c r="H10" s="199"/>
      <c r="I10" s="199"/>
      <c r="J10" s="199"/>
      <c r="K10" s="199"/>
      <c r="L10" s="199"/>
    </row>
    <row r="11" ht="18" customHeight="1" thickBot="1"/>
    <row r="12" spans="1:16" s="224" customFormat="1" ht="76.5" customHeight="1" thickTop="1">
      <c r="A12" s="211" t="s">
        <v>108</v>
      </c>
      <c r="B12" s="212" t="s">
        <v>165</v>
      </c>
      <c r="C12" s="213" t="s">
        <v>166</v>
      </c>
      <c r="D12" s="214" t="s">
        <v>167</v>
      </c>
      <c r="E12" s="215" t="s">
        <v>168</v>
      </c>
      <c r="F12" s="216" t="s">
        <v>169</v>
      </c>
      <c r="G12" s="217" t="s">
        <v>170</v>
      </c>
      <c r="H12" s="218" t="s">
        <v>171</v>
      </c>
      <c r="I12" s="219" t="s">
        <v>172</v>
      </c>
      <c r="J12" s="218" t="s">
        <v>173</v>
      </c>
      <c r="K12" s="220" t="s">
        <v>174</v>
      </c>
      <c r="L12" s="221" t="s">
        <v>175</v>
      </c>
      <c r="M12" s="222" t="s">
        <v>176</v>
      </c>
      <c r="N12" s="223" t="s">
        <v>177</v>
      </c>
      <c r="O12" s="199"/>
      <c r="P12" s="199"/>
    </row>
    <row r="13" spans="1:16" s="206" customFormat="1" ht="12.75">
      <c r="A13" s="225">
        <v>1</v>
      </c>
      <c r="B13" s="226">
        <v>2</v>
      </c>
      <c r="C13" s="227">
        <v>3</v>
      </c>
      <c r="D13" s="228">
        <v>4</v>
      </c>
      <c r="E13" s="229">
        <v>5</v>
      </c>
      <c r="F13" s="225">
        <v>6</v>
      </c>
      <c r="G13" s="230">
        <v>7</v>
      </c>
      <c r="H13" s="225">
        <v>8</v>
      </c>
      <c r="I13" s="231">
        <v>9</v>
      </c>
      <c r="J13" s="225">
        <v>10</v>
      </c>
      <c r="K13" s="232">
        <v>11</v>
      </c>
      <c r="L13" s="229">
        <v>12</v>
      </c>
      <c r="M13" s="233">
        <v>13</v>
      </c>
      <c r="N13" s="234">
        <v>14</v>
      </c>
      <c r="O13" s="199"/>
      <c r="P13" s="199"/>
    </row>
    <row r="14" spans="1:14" s="199" customFormat="1" ht="3" customHeight="1">
      <c r="A14" s="235"/>
      <c r="B14" s="236"/>
      <c r="C14" s="237"/>
      <c r="D14" s="238"/>
      <c r="E14" s="239"/>
      <c r="F14" s="235"/>
      <c r="G14" s="240"/>
      <c r="H14" s="235"/>
      <c r="I14" s="241"/>
      <c r="J14" s="235"/>
      <c r="K14" s="242"/>
      <c r="L14" s="239"/>
      <c r="M14" s="243"/>
      <c r="N14" s="244"/>
    </row>
    <row r="15" spans="1:14" s="199" customFormat="1" ht="12.75" customHeight="1">
      <c r="A15" s="245" t="s">
        <v>178</v>
      </c>
      <c r="B15" s="246" t="s">
        <v>179</v>
      </c>
      <c r="C15" s="247">
        <v>6658</v>
      </c>
      <c r="D15" s="248">
        <v>7172.02338429824</v>
      </c>
      <c r="E15" s="249">
        <f>IF(C15&gt;=0.9*D15,D15,C15+0.1*D15)</f>
        <v>7172.02338429824</v>
      </c>
      <c r="F15" s="250"/>
      <c r="G15" s="251">
        <f>E15+F15</f>
        <v>7172.02338429824</v>
      </c>
      <c r="H15" s="252">
        <v>1.455045058576149</v>
      </c>
      <c r="I15" s="250">
        <f>E15*H15</f>
        <v>10435.617185315743</v>
      </c>
      <c r="J15" s="253"/>
      <c r="K15" s="254">
        <f>I15+J15</f>
        <v>10435.617185315743</v>
      </c>
      <c r="L15" s="255"/>
      <c r="M15" s="256">
        <f>IF(D15&gt;C15,C15-D15,0)</f>
        <v>-514.0233842982398</v>
      </c>
      <c r="N15" s="257">
        <f>IF(D15&lt;C15,C15-D15,0)</f>
        <v>0</v>
      </c>
    </row>
    <row r="16" spans="1:14" s="199" customFormat="1" ht="12.75" customHeight="1">
      <c r="A16" s="245" t="s">
        <v>178</v>
      </c>
      <c r="B16" s="246" t="s">
        <v>180</v>
      </c>
      <c r="C16" s="247">
        <v>2541.5</v>
      </c>
      <c r="D16" s="248">
        <v>2524.7317723497113</v>
      </c>
      <c r="E16" s="249">
        <f>IF(C16&gt;=0.9*D16,D16,C16+0.1*D16)</f>
        <v>2524.7317723497113</v>
      </c>
      <c r="F16" s="258">
        <f>L205</f>
        <v>168</v>
      </c>
      <c r="G16" s="251">
        <f>E16+F16</f>
        <v>2692.7317723497113</v>
      </c>
      <c r="H16" s="252">
        <v>2.121790281329923</v>
      </c>
      <c r="I16" s="250">
        <f>E16*H16</f>
        <v>5356.9513375364895</v>
      </c>
      <c r="J16" s="253">
        <f>N205</f>
        <v>588</v>
      </c>
      <c r="K16" s="254">
        <f>I16+J16</f>
        <v>5944.9513375364895</v>
      </c>
      <c r="L16" s="255"/>
      <c r="M16" s="256">
        <f>IF(D16&gt;C16,C16-D16,0)</f>
        <v>0</v>
      </c>
      <c r="N16" s="257">
        <f>IF(D16&lt;C16,C16-D16,0)</f>
        <v>16.768227650288736</v>
      </c>
    </row>
    <row r="17" spans="1:14" s="199" customFormat="1" ht="12.75" customHeight="1">
      <c r="A17" s="245" t="s">
        <v>178</v>
      </c>
      <c r="B17" s="246" t="s">
        <v>181</v>
      </c>
      <c r="C17" s="247">
        <v>3404.5</v>
      </c>
      <c r="D17" s="248">
        <v>3584.7629187891316</v>
      </c>
      <c r="E17" s="249">
        <f>IF(C17&gt;=0.9*D17,D17,C17+0.1*D17)</f>
        <v>3584.7629187891316</v>
      </c>
      <c r="F17" s="250"/>
      <c r="G17" s="251">
        <f>E17+F17</f>
        <v>3584.7629187891316</v>
      </c>
      <c r="H17" s="252">
        <v>1.4626259362608314</v>
      </c>
      <c r="I17" s="250">
        <f>E17*H17</f>
        <v>5243.167220367064</v>
      </c>
      <c r="J17" s="253"/>
      <c r="K17" s="254">
        <f>I17+J17</f>
        <v>5243.167220367064</v>
      </c>
      <c r="L17" s="255"/>
      <c r="M17" s="256">
        <f>IF(D17&gt;C17,C17-D17,0)</f>
        <v>-180.26291878913162</v>
      </c>
      <c r="N17" s="257">
        <f>IF(D17&lt;C17,C17-D17,0)</f>
        <v>0</v>
      </c>
    </row>
    <row r="18" spans="1:17" ht="12.75" customHeight="1">
      <c r="A18" s="259" t="s">
        <v>178</v>
      </c>
      <c r="B18" s="260" t="s">
        <v>182</v>
      </c>
      <c r="C18" s="261">
        <v>1289.5</v>
      </c>
      <c r="D18" s="262">
        <v>1458.0863684871288</v>
      </c>
      <c r="E18" s="249">
        <f>IF(C18&gt;=0.9*D18,D18,C18+0.1*D18)</f>
        <v>1435.308636848713</v>
      </c>
      <c r="F18" s="263">
        <f>L206</f>
        <v>2</v>
      </c>
      <c r="G18" s="251">
        <f>E18+F18</f>
        <v>1437.308636848713</v>
      </c>
      <c r="H18" s="264">
        <v>1.7532764637456377</v>
      </c>
      <c r="I18" s="250">
        <f>E18*H18</f>
        <v>2516.492851197683</v>
      </c>
      <c r="J18" s="265">
        <f>N203</f>
        <v>5.6</v>
      </c>
      <c r="K18" s="254">
        <f>I18+J18</f>
        <v>2522.092851197683</v>
      </c>
      <c r="L18" s="266"/>
      <c r="M18" s="256">
        <f>IF(D18&gt;C18,C18-D18,0)</f>
        <v>-168.58636848712877</v>
      </c>
      <c r="N18" s="257">
        <f>IF(D18&lt;C18,C18-D18,0)</f>
        <v>0</v>
      </c>
      <c r="O18"/>
      <c r="P18"/>
      <c r="Q18"/>
    </row>
    <row r="19" spans="1:17" s="199" customFormat="1" ht="12.75" customHeight="1" thickBot="1">
      <c r="A19" s="267" t="s">
        <v>178</v>
      </c>
      <c r="B19" s="268" t="s">
        <v>183</v>
      </c>
      <c r="C19" s="247">
        <v>29249.5</v>
      </c>
      <c r="D19" s="248">
        <v>27676.197480380702</v>
      </c>
      <c r="E19" s="249">
        <f>IF(C19&lt;D19,C19,D19)</f>
        <v>27676.197480380702</v>
      </c>
      <c r="F19" s="263">
        <f>L207</f>
        <v>595</v>
      </c>
      <c r="G19" s="251">
        <f>E19+F19</f>
        <v>28271.197480380702</v>
      </c>
      <c r="H19" s="252">
        <v>1.6717482315937027</v>
      </c>
      <c r="I19" s="250">
        <f>E19*H19</f>
        <v>46267.63419506453</v>
      </c>
      <c r="J19" s="269">
        <f>N207</f>
        <v>2076.9</v>
      </c>
      <c r="K19" s="254">
        <f>I19+J19</f>
        <v>48344.53419506453</v>
      </c>
      <c r="L19" s="270"/>
      <c r="M19" s="256">
        <f>IF(D19&gt;C19,C19-D19,0)</f>
        <v>0</v>
      </c>
      <c r="N19" s="257">
        <f>IF(D19&lt;C19,C19-D19,0)</f>
        <v>1573.3025196192975</v>
      </c>
      <c r="O19"/>
      <c r="P19"/>
      <c r="Q19"/>
    </row>
    <row r="20" spans="1:17" s="199" customFormat="1" ht="12.75" customHeight="1" thickBot="1">
      <c r="A20" s="271" t="s">
        <v>178</v>
      </c>
      <c r="B20" s="272" t="s">
        <v>144</v>
      </c>
      <c r="C20" s="273">
        <f>SUM(C15:C19)</f>
        <v>43143</v>
      </c>
      <c r="D20" s="274">
        <f>SUM(D15:D19)</f>
        <v>42415.80192430491</v>
      </c>
      <c r="E20" s="274">
        <f>SUM(E15:E19)</f>
        <v>42393.0241926665</v>
      </c>
      <c r="F20" s="275">
        <f>SUM(F15:F19)</f>
        <v>765</v>
      </c>
      <c r="G20" s="276">
        <f>SUM(G15:G19)</f>
        <v>43158.0241926665</v>
      </c>
      <c r="H20" s="275"/>
      <c r="I20" s="275">
        <f>SUM(I15:I19)</f>
        <v>69819.8627894815</v>
      </c>
      <c r="J20" s="275">
        <f>SUM(J15:J19)</f>
        <v>2670.5</v>
      </c>
      <c r="K20" s="277">
        <f>SUM(K15:K19)</f>
        <v>72490.3627894815</v>
      </c>
      <c r="L20" s="278">
        <f>ROUND(K20*$N$186/$K$176,0)-1</f>
        <v>1771459</v>
      </c>
      <c r="M20" s="279">
        <f>SUM(M15:M19)</f>
        <v>-862.8726715745001</v>
      </c>
      <c r="N20" s="280">
        <f>SUM(N15:N19)</f>
        <v>1590.0707472695863</v>
      </c>
      <c r="O20"/>
      <c r="P20"/>
      <c r="Q20"/>
    </row>
    <row r="21" spans="1:17" s="199" customFormat="1" ht="12.75" customHeight="1">
      <c r="A21" s="281" t="s">
        <v>184</v>
      </c>
      <c r="B21" s="246" t="s">
        <v>179</v>
      </c>
      <c r="C21" s="247">
        <v>3966.5</v>
      </c>
      <c r="D21" s="248">
        <v>3549.5924976774904</v>
      </c>
      <c r="E21" s="249">
        <f>IF(C21&gt;=0.9*D21,D21,C21+0.1*D21)</f>
        <v>3549.5924976774904</v>
      </c>
      <c r="F21" s="250"/>
      <c r="G21" s="251">
        <f>E21+F21</f>
        <v>3549.5924976774904</v>
      </c>
      <c r="H21" s="252">
        <v>1.4935711584520357</v>
      </c>
      <c r="I21" s="250">
        <f>E21*H21</f>
        <v>5301.568978788824</v>
      </c>
      <c r="J21" s="253"/>
      <c r="K21" s="254">
        <f>I21+J21</f>
        <v>5301.568978788824</v>
      </c>
      <c r="L21" s="255"/>
      <c r="M21" s="256">
        <f>IF(D21&gt;C21,C21-D21,0)</f>
        <v>0</v>
      </c>
      <c r="N21" s="257">
        <f>IF(D21&lt;C21,C21-D21,0)</f>
        <v>416.9075023225096</v>
      </c>
      <c r="O21"/>
      <c r="P21"/>
      <c r="Q21"/>
    </row>
    <row r="22" spans="1:17" s="199" customFormat="1" ht="12.75" customHeight="1">
      <c r="A22" s="282" t="s">
        <v>184</v>
      </c>
      <c r="B22" s="246" t="s">
        <v>180</v>
      </c>
      <c r="C22" s="247">
        <v>81</v>
      </c>
      <c r="D22" s="248">
        <v>70.72979540532886</v>
      </c>
      <c r="E22" s="249">
        <f>IF(C22&gt;=0.9*D22,D22,C22+0.1*D22)</f>
        <v>70.72979540532886</v>
      </c>
      <c r="F22" s="250"/>
      <c r="G22" s="251">
        <f>E22+F22</f>
        <v>70.72979540532886</v>
      </c>
      <c r="H22" s="252">
        <v>1.1975308641975309</v>
      </c>
      <c r="I22" s="250">
        <f>E22*H22</f>
        <v>84.70111301625802</v>
      </c>
      <c r="J22" s="253"/>
      <c r="K22" s="254">
        <f>I22+J22</f>
        <v>84.70111301625802</v>
      </c>
      <c r="L22" s="255"/>
      <c r="M22" s="256">
        <f>IF(D22&gt;C22,C22-D22,0)</f>
        <v>0</v>
      </c>
      <c r="N22" s="257">
        <f>IF(D22&lt;C22,C22-D22,0)</f>
        <v>10.270204594671142</v>
      </c>
      <c r="O22"/>
      <c r="P22"/>
      <c r="Q22"/>
    </row>
    <row r="23" spans="1:17" s="199" customFormat="1" ht="12.75" customHeight="1">
      <c r="A23" s="282" t="s">
        <v>184</v>
      </c>
      <c r="B23" s="246" t="s">
        <v>181</v>
      </c>
      <c r="C23" s="247">
        <v>982.5</v>
      </c>
      <c r="D23" s="248">
        <v>958.3568708565597</v>
      </c>
      <c r="E23" s="249">
        <f>IF(C23&gt;=0.9*D23,D23,C23+0.1*D23)</f>
        <v>958.3568708565597</v>
      </c>
      <c r="F23" s="250"/>
      <c r="G23" s="251">
        <f>E23+F23</f>
        <v>958.3568708565597</v>
      </c>
      <c r="H23" s="252">
        <v>1.5466666666666666</v>
      </c>
      <c r="I23" s="250">
        <f>E23*H23</f>
        <v>1482.2586269248122</v>
      </c>
      <c r="J23" s="253"/>
      <c r="K23" s="254">
        <f>I23+J23</f>
        <v>1482.2586269248122</v>
      </c>
      <c r="L23" s="255"/>
      <c r="M23" s="256">
        <f>IF(D23&gt;C23,C23-D23,0)</f>
        <v>0</v>
      </c>
      <c r="N23" s="257">
        <f>IF(D23&lt;C23,C23-D23,0)</f>
        <v>24.14312914344032</v>
      </c>
      <c r="O23"/>
      <c r="P23"/>
      <c r="Q23"/>
    </row>
    <row r="24" spans="1:17" ht="12.75" customHeight="1">
      <c r="A24" s="259" t="s">
        <v>185</v>
      </c>
      <c r="B24" s="260" t="s">
        <v>182</v>
      </c>
      <c r="C24" s="261">
        <v>148</v>
      </c>
      <c r="D24" s="262">
        <v>165.09452302466013</v>
      </c>
      <c r="E24" s="249">
        <f>IF(C24&gt;=0.9*D24,D24,C24+0.1*D24)</f>
        <v>164.509452302466</v>
      </c>
      <c r="F24" s="263"/>
      <c r="G24" s="251">
        <f>E24+F24</f>
        <v>164.509452302466</v>
      </c>
      <c r="H24" s="264">
        <v>1.863918918918919</v>
      </c>
      <c r="I24" s="250">
        <f>E24*H24</f>
        <v>306.6322804875559</v>
      </c>
      <c r="J24" s="265"/>
      <c r="K24" s="254">
        <f>I24+J24</f>
        <v>306.6322804875559</v>
      </c>
      <c r="L24" s="266"/>
      <c r="M24" s="256">
        <f>IF(D24&gt;C24,C24-D24,0)</f>
        <v>-17.094523024660134</v>
      </c>
      <c r="N24" s="257">
        <f>IF(D24&lt;C24,C24-D24,0)</f>
        <v>0</v>
      </c>
      <c r="O24"/>
      <c r="P24"/>
      <c r="Q24"/>
    </row>
    <row r="25" spans="1:17" s="199" customFormat="1" ht="12.75" customHeight="1" thickBot="1">
      <c r="A25" s="283" t="s">
        <v>184</v>
      </c>
      <c r="B25" s="268" t="s">
        <v>183</v>
      </c>
      <c r="C25" s="247">
        <v>7467</v>
      </c>
      <c r="D25" s="248">
        <v>7184.68641280332</v>
      </c>
      <c r="E25" s="249">
        <f>IF(C25&lt;D25,C25,D25)</f>
        <v>7184.68641280332</v>
      </c>
      <c r="F25" s="263"/>
      <c r="G25" s="251">
        <f>E25+F25</f>
        <v>7184.68641280332</v>
      </c>
      <c r="H25" s="252">
        <v>1.501037913486005</v>
      </c>
      <c r="I25" s="250">
        <f>E25*H25</f>
        <v>10784.486702125547</v>
      </c>
      <c r="J25" s="269"/>
      <c r="K25" s="254">
        <f>I25+J25</f>
        <v>10784.486702125547</v>
      </c>
      <c r="L25" s="270"/>
      <c r="M25" s="256">
        <f>IF(D25&gt;C25,C25-D25,0)</f>
        <v>0</v>
      </c>
      <c r="N25" s="257">
        <f>IF(D25&lt;C25,C25-D25,0)</f>
        <v>282.3135871966797</v>
      </c>
      <c r="O25"/>
      <c r="P25"/>
      <c r="Q25"/>
    </row>
    <row r="26" spans="1:17" s="199" customFormat="1" ht="12.75" customHeight="1" thickBot="1">
      <c r="A26" s="271" t="s">
        <v>184</v>
      </c>
      <c r="B26" s="272" t="s">
        <v>144</v>
      </c>
      <c r="C26" s="273">
        <f>SUM(C21:C25)</f>
        <v>12645</v>
      </c>
      <c r="D26" s="274">
        <f>SUM(D21:D25)</f>
        <v>11928.460099767359</v>
      </c>
      <c r="E26" s="274">
        <f>SUM(E21:E25)</f>
        <v>11927.875029045164</v>
      </c>
      <c r="F26" s="275">
        <f>SUM(F21:F25)</f>
        <v>0</v>
      </c>
      <c r="G26" s="276">
        <f>SUM(G21:G25)</f>
        <v>11927.875029045164</v>
      </c>
      <c r="H26" s="275"/>
      <c r="I26" s="275">
        <f>SUM(I21:I25)</f>
        <v>17959.647701342998</v>
      </c>
      <c r="J26" s="275">
        <f>SUM(J21:J25)</f>
        <v>0</v>
      </c>
      <c r="K26" s="277">
        <f>SUM(K21:K25)</f>
        <v>17959.647701342998</v>
      </c>
      <c r="L26" s="278">
        <f>ROUND(K26*$N$186/$K$176,0)</f>
        <v>438883</v>
      </c>
      <c r="M26" s="279">
        <f>SUM(M21:M25)</f>
        <v>-17.094523024660134</v>
      </c>
      <c r="N26" s="280">
        <f>SUM(N21:N25)</f>
        <v>733.6344232573008</v>
      </c>
      <c r="O26"/>
      <c r="P26"/>
      <c r="Q26"/>
    </row>
    <row r="27" spans="1:17" s="199" customFormat="1" ht="12.75" customHeight="1">
      <c r="A27" s="281" t="s">
        <v>186</v>
      </c>
      <c r="B27" s="246" t="s">
        <v>179</v>
      </c>
      <c r="C27" s="247">
        <v>3226.5</v>
      </c>
      <c r="D27" s="248">
        <v>3235</v>
      </c>
      <c r="E27" s="249">
        <f>IF(C27&gt;=0.9*D27,D27,C27+0.1*D27)</f>
        <v>3235</v>
      </c>
      <c r="F27" s="250"/>
      <c r="G27" s="251">
        <f>E27+F27</f>
        <v>3235</v>
      </c>
      <c r="H27" s="252">
        <v>1.4796528746319542</v>
      </c>
      <c r="I27" s="250">
        <f>E27*H27</f>
        <v>4786.677049434372</v>
      </c>
      <c r="J27" s="253"/>
      <c r="K27" s="254">
        <f>I27+J27</f>
        <v>4786.677049434372</v>
      </c>
      <c r="L27" s="255"/>
      <c r="M27" s="256">
        <f>IF(D27&gt;C27,C27-D27,0)</f>
        <v>-8.5</v>
      </c>
      <c r="N27" s="257">
        <f>IF(D27&lt;C27,C27-D27,0)</f>
        <v>0</v>
      </c>
      <c r="O27"/>
      <c r="P27"/>
      <c r="Q27"/>
    </row>
    <row r="28" spans="1:17" s="199" customFormat="1" ht="12.75" customHeight="1">
      <c r="A28" s="282" t="s">
        <v>186</v>
      </c>
      <c r="B28" s="246" t="s">
        <v>180</v>
      </c>
      <c r="C28" s="247">
        <v>127</v>
      </c>
      <c r="D28" s="248">
        <v>135</v>
      </c>
      <c r="E28" s="249">
        <f>IF(C28&gt;=0.9*D28,D28,C28+0.1*D28)</f>
        <v>135</v>
      </c>
      <c r="F28" s="250"/>
      <c r="G28" s="251">
        <f>E28+F28</f>
        <v>135</v>
      </c>
      <c r="H28" s="252">
        <v>1.2</v>
      </c>
      <c r="I28" s="250">
        <f>E28*H28</f>
        <v>162</v>
      </c>
      <c r="J28" s="253"/>
      <c r="K28" s="254">
        <f>I28+J28</f>
        <v>162</v>
      </c>
      <c r="L28" s="255"/>
      <c r="M28" s="256">
        <f>IF(D28&gt;C28,C28-D28,0)</f>
        <v>-8</v>
      </c>
      <c r="N28" s="257">
        <f>IF(D28&lt;C28,C28-D28,0)</f>
        <v>0</v>
      </c>
      <c r="O28"/>
      <c r="P28"/>
      <c r="Q28"/>
    </row>
    <row r="29" spans="1:17" s="199" customFormat="1" ht="12.75" customHeight="1">
      <c r="A29" s="282" t="s">
        <v>186</v>
      </c>
      <c r="B29" s="246" t="s">
        <v>181</v>
      </c>
      <c r="C29" s="247">
        <v>591.5</v>
      </c>
      <c r="D29" s="248">
        <v>698</v>
      </c>
      <c r="E29" s="249">
        <f>IF(C29&gt;=0.9*D29,D29,C29+0.1*D29)</f>
        <v>661.3</v>
      </c>
      <c r="F29" s="250"/>
      <c r="G29" s="251">
        <f>E29+F29</f>
        <v>661.3</v>
      </c>
      <c r="H29" s="252">
        <v>1.4822147083685546</v>
      </c>
      <c r="I29" s="250">
        <f>E29*H29</f>
        <v>980.188586644125</v>
      </c>
      <c r="J29" s="253"/>
      <c r="K29" s="254">
        <f>I29+J29</f>
        <v>980.188586644125</v>
      </c>
      <c r="L29" s="255"/>
      <c r="M29" s="256">
        <f>IF(D29&gt;C29,C29-D29,0)</f>
        <v>-106.5</v>
      </c>
      <c r="N29" s="257">
        <f>IF(D29&lt;C29,C29-D29,0)</f>
        <v>0</v>
      </c>
      <c r="O29"/>
      <c r="P29"/>
      <c r="Q29"/>
    </row>
    <row r="30" spans="1:17" ht="12.75" customHeight="1">
      <c r="A30" s="259" t="s">
        <v>187</v>
      </c>
      <c r="B30" s="260" t="s">
        <v>182</v>
      </c>
      <c r="C30" s="261">
        <v>40</v>
      </c>
      <c r="D30" s="262">
        <v>45</v>
      </c>
      <c r="E30" s="249">
        <f>IF(C30&gt;=0.9*D30,D30,C30+0.1*D30)</f>
        <v>44.5</v>
      </c>
      <c r="F30" s="263"/>
      <c r="G30" s="251">
        <f>E30+F30</f>
        <v>44.5</v>
      </c>
      <c r="H30" s="264">
        <v>1.73</v>
      </c>
      <c r="I30" s="250">
        <f>E30*H30</f>
        <v>76.985</v>
      </c>
      <c r="J30" s="265"/>
      <c r="K30" s="254">
        <f>I30+J30</f>
        <v>76.985</v>
      </c>
      <c r="L30" s="266"/>
      <c r="M30" s="256">
        <f>IF(D30&gt;C30,C30-D30,0)</f>
        <v>-5</v>
      </c>
      <c r="N30" s="257">
        <f>IF(D30&lt;C30,C30-D30,0)</f>
        <v>0</v>
      </c>
      <c r="O30"/>
      <c r="P30"/>
      <c r="Q30"/>
    </row>
    <row r="31" spans="1:17" s="199" customFormat="1" ht="12.75" customHeight="1" thickBot="1">
      <c r="A31" s="283" t="s">
        <v>186</v>
      </c>
      <c r="B31" s="268" t="s">
        <v>183</v>
      </c>
      <c r="C31" s="247">
        <v>6488.5</v>
      </c>
      <c r="D31" s="248">
        <v>6033</v>
      </c>
      <c r="E31" s="249">
        <f>IF(C31&lt;D31,C31,D31)</f>
        <v>6033</v>
      </c>
      <c r="F31" s="263"/>
      <c r="G31" s="251">
        <f>E31+F31</f>
        <v>6033</v>
      </c>
      <c r="H31" s="252">
        <v>1.4422177853124758</v>
      </c>
      <c r="I31" s="250">
        <f>E31*H31</f>
        <v>8700.899898790167</v>
      </c>
      <c r="J31" s="269"/>
      <c r="K31" s="254">
        <f>I31+J31</f>
        <v>8700.899898790167</v>
      </c>
      <c r="L31" s="270"/>
      <c r="M31" s="256">
        <f>IF(D31&gt;C31,C31-D31,0)</f>
        <v>0</v>
      </c>
      <c r="N31" s="257">
        <f>IF(D31&lt;C31,C31-D31,0)</f>
        <v>455.5</v>
      </c>
      <c r="O31"/>
      <c r="P31"/>
      <c r="Q31"/>
    </row>
    <row r="32" spans="1:17" s="199" customFormat="1" ht="12.75" customHeight="1" thickBot="1">
      <c r="A32" s="271" t="s">
        <v>186</v>
      </c>
      <c r="B32" s="272" t="s">
        <v>144</v>
      </c>
      <c r="C32" s="273">
        <f>SUM(C27:C31)</f>
        <v>10473.5</v>
      </c>
      <c r="D32" s="274">
        <f>SUM(D27:D31)</f>
        <v>10146</v>
      </c>
      <c r="E32" s="274">
        <f>SUM(E27:E31)</f>
        <v>10108.8</v>
      </c>
      <c r="F32" s="275">
        <f>SUM(F27:F31)</f>
        <v>0</v>
      </c>
      <c r="G32" s="276">
        <f>SUM(G27:G31)</f>
        <v>10108.8</v>
      </c>
      <c r="H32" s="275"/>
      <c r="I32" s="275">
        <f>SUM(I27:I31)</f>
        <v>14706.750534868665</v>
      </c>
      <c r="J32" s="275">
        <f>SUM(J27:J31)</f>
        <v>0</v>
      </c>
      <c r="K32" s="277">
        <f>SUM(K27:K31)</f>
        <v>14706.750534868665</v>
      </c>
      <c r="L32" s="278">
        <f>ROUND(K32*$N$186/$K$176,0)</f>
        <v>359392</v>
      </c>
      <c r="M32" s="279">
        <f>SUM(M27:M31)</f>
        <v>-128</v>
      </c>
      <c r="N32" s="280">
        <f>SUM(N27:N31)</f>
        <v>455.5</v>
      </c>
      <c r="O32"/>
      <c r="P32"/>
      <c r="Q32"/>
    </row>
    <row r="33" spans="1:17" s="199" customFormat="1" ht="12.75" customHeight="1">
      <c r="A33" s="281" t="s">
        <v>188</v>
      </c>
      <c r="B33" s="246" t="s">
        <v>179</v>
      </c>
      <c r="C33" s="247">
        <v>8760</v>
      </c>
      <c r="D33" s="248">
        <v>9064.556100956817</v>
      </c>
      <c r="E33" s="249">
        <f>IF(C33&gt;=0.9*D33,D33,C33+0.1*D33)</f>
        <v>9064.556100956817</v>
      </c>
      <c r="F33" s="250"/>
      <c r="G33" s="251">
        <f>E33+F33</f>
        <v>9064.556100956817</v>
      </c>
      <c r="H33" s="252">
        <v>1.3280913242009131</v>
      </c>
      <c r="I33" s="250">
        <f>E33*H33</f>
        <v>12038.558315413205</v>
      </c>
      <c r="J33" s="253"/>
      <c r="K33" s="254">
        <f>I33+J33</f>
        <v>12038.558315413205</v>
      </c>
      <c r="L33" s="255"/>
      <c r="M33" s="256">
        <f>IF(D33&gt;C33,C33-D33,0)</f>
        <v>-304.5561009568173</v>
      </c>
      <c r="N33" s="257">
        <f>IF(D33&lt;C33,C33-D33,0)</f>
        <v>0</v>
      </c>
      <c r="O33"/>
      <c r="P33"/>
      <c r="Q33"/>
    </row>
    <row r="34" spans="1:17" s="199" customFormat="1" ht="12.75" customHeight="1">
      <c r="A34" s="282" t="s">
        <v>188</v>
      </c>
      <c r="B34" s="246" t="s">
        <v>180</v>
      </c>
      <c r="C34" s="247">
        <v>1537.5</v>
      </c>
      <c r="D34" s="248">
        <v>1560.4423783186778</v>
      </c>
      <c r="E34" s="249">
        <f>IF(C34&gt;=0.9*D34,D34,C34+0.1*D34)</f>
        <v>1560.4423783186778</v>
      </c>
      <c r="F34" s="251">
        <f>L212</f>
        <v>80</v>
      </c>
      <c r="G34" s="251">
        <f>E34+F34</f>
        <v>1640.4423783186778</v>
      </c>
      <c r="H34" s="252">
        <v>1.5227967479674798</v>
      </c>
      <c r="I34" s="250">
        <f>E34*H34</f>
        <v>2376.236579094322</v>
      </c>
      <c r="J34" s="253">
        <f>N212</f>
        <v>280</v>
      </c>
      <c r="K34" s="254">
        <f>I34+J34</f>
        <v>2656.236579094322</v>
      </c>
      <c r="L34" s="255"/>
      <c r="M34" s="256">
        <f>IF(D34&gt;C34,C34-D34,0)</f>
        <v>-22.94237831867781</v>
      </c>
      <c r="N34" s="257">
        <f>IF(D34&lt;C34,C34-D34,0)</f>
        <v>0</v>
      </c>
      <c r="O34"/>
      <c r="P34"/>
      <c r="Q34"/>
    </row>
    <row r="35" spans="1:17" s="199" customFormat="1" ht="12.75" customHeight="1">
      <c r="A35" s="282" t="s">
        <v>188</v>
      </c>
      <c r="B35" s="246" t="s">
        <v>181</v>
      </c>
      <c r="C35" s="247">
        <v>4792.5</v>
      </c>
      <c r="D35" s="248">
        <v>4223.416334255022</v>
      </c>
      <c r="E35" s="249">
        <f>IF(C35&gt;=0.9*D35,D35,C35+0.1*D35)</f>
        <v>4223.416334255022</v>
      </c>
      <c r="F35" s="250"/>
      <c r="G35" s="251">
        <f>E35+F35</f>
        <v>4223.416334255022</v>
      </c>
      <c r="H35" s="252">
        <v>1.3130182576943141</v>
      </c>
      <c r="I35" s="250">
        <f>E35*H35</f>
        <v>5545.422756721236</v>
      </c>
      <c r="J35" s="253"/>
      <c r="K35" s="254">
        <f>I35+J35</f>
        <v>5545.422756721236</v>
      </c>
      <c r="L35" s="255"/>
      <c r="M35" s="256">
        <f>IF(D35&gt;C35,C35-D35,0)</f>
        <v>0</v>
      </c>
      <c r="N35" s="257">
        <f>IF(D35&lt;C35,C35-D35,0)</f>
        <v>569.0836657449781</v>
      </c>
      <c r="O35"/>
      <c r="P35"/>
      <c r="Q35"/>
    </row>
    <row r="36" spans="1:17" ht="12.75" customHeight="1">
      <c r="A36" s="259" t="s">
        <v>188</v>
      </c>
      <c r="B36" s="260" t="s">
        <v>182</v>
      </c>
      <c r="C36" s="261">
        <v>678.5</v>
      </c>
      <c r="D36" s="262">
        <v>689.7743585601997</v>
      </c>
      <c r="E36" s="249">
        <f>IF(C36&gt;=0.9*D36,D36,C36+0.1*D36)</f>
        <v>689.7743585601997</v>
      </c>
      <c r="F36" s="284">
        <f>L213</f>
        <v>2</v>
      </c>
      <c r="G36" s="251">
        <f>E36+F36</f>
        <v>691.7743585601997</v>
      </c>
      <c r="H36" s="264">
        <v>1.7433308769344142</v>
      </c>
      <c r="I36" s="250">
        <f>E36*H36</f>
        <v>1202.504937395626</v>
      </c>
      <c r="J36" s="265">
        <f>N213</f>
        <v>5.6</v>
      </c>
      <c r="K36" s="254">
        <f>I36+J36</f>
        <v>1208.104937395626</v>
      </c>
      <c r="L36" s="266"/>
      <c r="M36" s="256">
        <f>IF(D36&gt;C36,C36-D36,0)</f>
        <v>-11.274358560199744</v>
      </c>
      <c r="N36" s="257">
        <f>IF(D36&lt;C36,C36-D36,0)</f>
        <v>0</v>
      </c>
      <c r="O36"/>
      <c r="P36"/>
      <c r="Q36"/>
    </row>
    <row r="37" spans="1:17" s="199" customFormat="1" ht="12.75" customHeight="1" thickBot="1">
      <c r="A37" s="283" t="s">
        <v>188</v>
      </c>
      <c r="B37" s="268" t="s">
        <v>183</v>
      </c>
      <c r="C37" s="247">
        <v>24413.5</v>
      </c>
      <c r="D37" s="248">
        <v>23597.199401097485</v>
      </c>
      <c r="E37" s="249">
        <f>IF(C37&lt;D37,C37,D37)</f>
        <v>23597.199401097485</v>
      </c>
      <c r="F37" s="251">
        <f>L214</f>
        <v>289.5</v>
      </c>
      <c r="G37" s="251">
        <f>E37+F37</f>
        <v>23886.699401097485</v>
      </c>
      <c r="H37" s="252">
        <v>1.4146517254797548</v>
      </c>
      <c r="I37" s="250">
        <f>E37*H37</f>
        <v>33381.81884925239</v>
      </c>
      <c r="J37" s="269">
        <f>N214</f>
        <v>1002.05</v>
      </c>
      <c r="K37" s="254">
        <f>I37+J37</f>
        <v>34383.868849252394</v>
      </c>
      <c r="L37" s="270"/>
      <c r="M37" s="256">
        <f>IF(D37&gt;C37,C37-D37,0)</f>
        <v>0</v>
      </c>
      <c r="N37" s="257">
        <f>IF(D37&lt;C37,C37-D37,0)</f>
        <v>816.300598902515</v>
      </c>
      <c r="O37"/>
      <c r="P37"/>
      <c r="Q37"/>
    </row>
    <row r="38" spans="1:17" s="199" customFormat="1" ht="12.75" customHeight="1" thickBot="1">
      <c r="A38" s="271" t="s">
        <v>188</v>
      </c>
      <c r="B38" s="272" t="s">
        <v>144</v>
      </c>
      <c r="C38" s="273">
        <f>SUM(C33:C37)</f>
        <v>40182</v>
      </c>
      <c r="D38" s="274">
        <f>SUM(D33:D37)</f>
        <v>39135.388573188204</v>
      </c>
      <c r="E38" s="274">
        <f>SUM(E33:E37)</f>
        <v>39135.388573188204</v>
      </c>
      <c r="F38" s="275">
        <f>SUM(F33:F37)</f>
        <v>371.5</v>
      </c>
      <c r="G38" s="276">
        <f>SUM(G33:G37)</f>
        <v>39506.888573188204</v>
      </c>
      <c r="H38" s="275"/>
      <c r="I38" s="275">
        <f>SUM(I33:I37)</f>
        <v>54544.541437876775</v>
      </c>
      <c r="J38" s="275">
        <f>SUM(J33:J37)</f>
        <v>1287.65</v>
      </c>
      <c r="K38" s="277">
        <f>SUM(K33:K37)</f>
        <v>55832.19143787678</v>
      </c>
      <c r="L38" s="278">
        <f>ROUND(K38*$N$186/$K$176,0)</f>
        <v>1364381</v>
      </c>
      <c r="M38" s="279">
        <f>SUM(M33:M37)</f>
        <v>-338.7728378356949</v>
      </c>
      <c r="N38" s="280">
        <f>SUM(N33:N37)</f>
        <v>1385.3842646474932</v>
      </c>
      <c r="O38"/>
      <c r="P38"/>
      <c r="Q38"/>
    </row>
    <row r="39" spans="1:17" s="199" customFormat="1" ht="12.75" customHeight="1">
      <c r="A39" s="285" t="s">
        <v>189</v>
      </c>
      <c r="B39" s="246" t="s">
        <v>179</v>
      </c>
      <c r="C39" s="247">
        <v>4764.5</v>
      </c>
      <c r="D39" s="248">
        <v>4419</v>
      </c>
      <c r="E39" s="249">
        <f>IF(C39&gt;=0.9*D39,D39,C39+0.1*D39)</f>
        <v>4419</v>
      </c>
      <c r="F39" s="251"/>
      <c r="G39" s="251">
        <f>E39+F39</f>
        <v>4419</v>
      </c>
      <c r="H39" s="252">
        <v>1.4663322489243362</v>
      </c>
      <c r="I39" s="250">
        <f>E39*H39</f>
        <v>6479.722207996641</v>
      </c>
      <c r="J39" s="253"/>
      <c r="K39" s="254">
        <f>I39+J39</f>
        <v>6479.722207996641</v>
      </c>
      <c r="L39" s="255"/>
      <c r="M39" s="256">
        <f>IF(D39&gt;C39,C39-D39,0)</f>
        <v>0</v>
      </c>
      <c r="N39" s="257">
        <f>IF(D39&lt;C39,C39-D39,0)</f>
        <v>345.5</v>
      </c>
      <c r="O39"/>
      <c r="P39"/>
      <c r="Q39"/>
    </row>
    <row r="40" spans="1:17" s="199" customFormat="1" ht="12.75" customHeight="1">
      <c r="A40" s="245" t="s">
        <v>189</v>
      </c>
      <c r="B40" s="246" t="s">
        <v>180</v>
      </c>
      <c r="C40" s="247">
        <v>798.5</v>
      </c>
      <c r="D40" s="248">
        <v>829</v>
      </c>
      <c r="E40" s="249">
        <f>IF(C40&gt;=0.9*D40,D40,C40+0.1*D40)</f>
        <v>829</v>
      </c>
      <c r="F40" s="251">
        <f>L218</f>
        <v>90</v>
      </c>
      <c r="G40" s="251">
        <f>E40+F40</f>
        <v>919</v>
      </c>
      <c r="H40" s="252">
        <v>1.5795867251095803</v>
      </c>
      <c r="I40" s="250">
        <f>E40*H40</f>
        <v>1309.477395115842</v>
      </c>
      <c r="J40" s="253">
        <f>N218</f>
        <v>315</v>
      </c>
      <c r="K40" s="254">
        <f>I40+J40</f>
        <v>1624.477395115842</v>
      </c>
      <c r="L40" s="255"/>
      <c r="M40" s="256">
        <f>IF(D40&gt;C40,C40-D40,0)</f>
        <v>-30.5</v>
      </c>
      <c r="N40" s="257">
        <f>IF(D40&lt;C40,C40-D40,0)</f>
        <v>0</v>
      </c>
      <c r="O40"/>
      <c r="P40"/>
      <c r="Q40"/>
    </row>
    <row r="41" spans="1:17" s="199" customFormat="1" ht="12.75" customHeight="1">
      <c r="A41" s="245" t="s">
        <v>189</v>
      </c>
      <c r="B41" s="246" t="s">
        <v>181</v>
      </c>
      <c r="C41" s="247">
        <v>1903.5</v>
      </c>
      <c r="D41" s="248">
        <v>1805</v>
      </c>
      <c r="E41" s="249">
        <f>IF(C41&gt;=0.9*D41,D41,C41+0.1*D41)</f>
        <v>1805</v>
      </c>
      <c r="F41" s="251"/>
      <c r="G41" s="251">
        <f>E41+F41</f>
        <v>1805</v>
      </c>
      <c r="H41" s="252">
        <v>1.3949829261886</v>
      </c>
      <c r="I41" s="250">
        <f>E41*H41</f>
        <v>2517.944181770423</v>
      </c>
      <c r="J41" s="253"/>
      <c r="K41" s="254">
        <f>I41+J41</f>
        <v>2517.944181770423</v>
      </c>
      <c r="L41" s="255"/>
      <c r="M41" s="256">
        <f>IF(D41&gt;C41,C41-D41,0)</f>
        <v>0</v>
      </c>
      <c r="N41" s="257">
        <f>IF(D41&lt;C41,C41-D41,0)</f>
        <v>98.5</v>
      </c>
      <c r="O41"/>
      <c r="P41"/>
      <c r="Q41"/>
    </row>
    <row r="42" spans="1:17" ht="12.75" customHeight="1">
      <c r="A42" s="259" t="s">
        <v>189</v>
      </c>
      <c r="B42" s="260" t="s">
        <v>182</v>
      </c>
      <c r="C42" s="261">
        <v>341.5</v>
      </c>
      <c r="D42" s="262">
        <v>360</v>
      </c>
      <c r="E42" s="249">
        <f>IF(C42&gt;=0.9*D42,D42,C42+0.1*D42)</f>
        <v>360</v>
      </c>
      <c r="F42" s="284"/>
      <c r="G42" s="251">
        <f>E42+F42</f>
        <v>360</v>
      </c>
      <c r="H42" s="264">
        <v>1.7758418740849196</v>
      </c>
      <c r="I42" s="250">
        <f>E42*H42</f>
        <v>639.303074670571</v>
      </c>
      <c r="J42" s="265"/>
      <c r="K42" s="254">
        <f>I42+J42</f>
        <v>639.303074670571</v>
      </c>
      <c r="L42" s="266"/>
      <c r="M42" s="256">
        <f>IF(D42&gt;C42,C42-D42,0)</f>
        <v>-18.5</v>
      </c>
      <c r="N42" s="257">
        <f>IF(D42&lt;C42,C42-D42,0)</f>
        <v>0</v>
      </c>
      <c r="O42"/>
      <c r="P42"/>
      <c r="Q42"/>
    </row>
    <row r="43" spans="1:17" s="199" customFormat="1" ht="12.75" customHeight="1" thickBot="1">
      <c r="A43" s="267" t="s">
        <v>189</v>
      </c>
      <c r="B43" s="268" t="s">
        <v>183</v>
      </c>
      <c r="C43" s="247">
        <v>13180.5</v>
      </c>
      <c r="D43" s="248">
        <v>13135</v>
      </c>
      <c r="E43" s="249">
        <f>IF(C43&lt;D43,C43,D43)</f>
        <v>13135</v>
      </c>
      <c r="F43" s="251">
        <f>L219</f>
        <v>321</v>
      </c>
      <c r="G43" s="251">
        <f>E43+F43</f>
        <v>13456</v>
      </c>
      <c r="H43" s="252">
        <v>1.4534084518796706</v>
      </c>
      <c r="I43" s="250">
        <f>E43*H43</f>
        <v>19090.520015439473</v>
      </c>
      <c r="J43" s="269">
        <f>N219</f>
        <v>1123.5</v>
      </c>
      <c r="K43" s="254">
        <f>I43+J43</f>
        <v>20214.020015439473</v>
      </c>
      <c r="L43" s="270"/>
      <c r="M43" s="256">
        <f>IF(D43&gt;C43,C43-D43,0)</f>
        <v>0</v>
      </c>
      <c r="N43" s="257">
        <f>IF(D43&lt;C43,C43-D43,0)</f>
        <v>45.5</v>
      </c>
      <c r="O43"/>
      <c r="P43"/>
      <c r="Q43"/>
    </row>
    <row r="44" spans="1:17" s="199" customFormat="1" ht="12.75" customHeight="1" thickBot="1">
      <c r="A44" s="271" t="s">
        <v>189</v>
      </c>
      <c r="B44" s="272" t="s">
        <v>144</v>
      </c>
      <c r="C44" s="273">
        <f>SUM(C39:C43)</f>
        <v>20988.5</v>
      </c>
      <c r="D44" s="274">
        <f>SUM(D39:D43)</f>
        <v>20548</v>
      </c>
      <c r="E44" s="274">
        <f>SUM(E39:E43)</f>
        <v>20548</v>
      </c>
      <c r="F44" s="275">
        <f>SUM(F39:F43)</f>
        <v>411</v>
      </c>
      <c r="G44" s="276">
        <f>SUM(G39:G43)</f>
        <v>20959</v>
      </c>
      <c r="H44" s="275"/>
      <c r="I44" s="275">
        <f>SUM(I39:I43)</f>
        <v>30036.96687499295</v>
      </c>
      <c r="J44" s="275">
        <f>SUM(J39:J43)</f>
        <v>1438.5</v>
      </c>
      <c r="K44" s="277">
        <f>SUM(K39:K43)</f>
        <v>31475.46687499295</v>
      </c>
      <c r="L44" s="278">
        <f>ROUND(K44*$N$186/$K$176,0)</f>
        <v>769172</v>
      </c>
      <c r="M44" s="279">
        <f>SUM(M39:M43)</f>
        <v>-49</v>
      </c>
      <c r="N44" s="280">
        <f>SUM(N39:N43)</f>
        <v>489.5</v>
      </c>
      <c r="O44"/>
      <c r="P44"/>
      <c r="Q44"/>
    </row>
    <row r="45" spans="1:17" s="199" customFormat="1" ht="12.75" customHeight="1">
      <c r="A45" s="281" t="s">
        <v>123</v>
      </c>
      <c r="B45" s="246" t="s">
        <v>179</v>
      </c>
      <c r="C45" s="247">
        <v>168</v>
      </c>
      <c r="D45" s="248">
        <v>131.2068085012647</v>
      </c>
      <c r="E45" s="249">
        <f>IF(C45&gt;=0.9*D45,D45,C45+0.1*D45)</f>
        <v>131.2068085012647</v>
      </c>
      <c r="F45" s="250"/>
      <c r="G45" s="251">
        <f>E45+F45</f>
        <v>131.2068085012647</v>
      </c>
      <c r="H45" s="252">
        <v>3.5</v>
      </c>
      <c r="I45" s="250">
        <f>E45*H45</f>
        <v>459.22382975442645</v>
      </c>
      <c r="J45" s="253"/>
      <c r="K45" s="254">
        <f>I45+J45</f>
        <v>459.22382975442645</v>
      </c>
      <c r="L45" s="255"/>
      <c r="M45" s="256">
        <f>IF(D45&gt;C45,C45-D45,0)</f>
        <v>0</v>
      </c>
      <c r="N45" s="257">
        <f>IF(D45&lt;C45,C45-D45,0)</f>
        <v>36.7931914987353</v>
      </c>
      <c r="O45"/>
      <c r="P45"/>
      <c r="Q45"/>
    </row>
    <row r="46" spans="1:17" s="199" customFormat="1" ht="12.75" customHeight="1">
      <c r="A46" s="282" t="s">
        <v>123</v>
      </c>
      <c r="B46" s="246" t="s">
        <v>180</v>
      </c>
      <c r="C46" s="247">
        <v>525.5</v>
      </c>
      <c r="D46" s="262">
        <v>445</v>
      </c>
      <c r="E46" s="249">
        <f>IF(C46&gt;=0.9*D46,D46,C46+0.1*D46)</f>
        <v>445</v>
      </c>
      <c r="F46" s="250"/>
      <c r="G46" s="251">
        <f>E46+F46</f>
        <v>445</v>
      </c>
      <c r="H46" s="252">
        <v>3.084928639391056</v>
      </c>
      <c r="I46" s="250">
        <f>E46*H46</f>
        <v>1372.79324452902</v>
      </c>
      <c r="J46" s="253"/>
      <c r="K46" s="254">
        <f>I46+J46</f>
        <v>1372.79324452902</v>
      </c>
      <c r="L46" s="255"/>
      <c r="M46" s="256">
        <f>IF(D46&gt;C46,C46-D46,0)</f>
        <v>0</v>
      </c>
      <c r="N46" s="257">
        <f>IF(D46&lt;C46,C46-D46,0)</f>
        <v>80.5</v>
      </c>
      <c r="O46"/>
      <c r="P46"/>
      <c r="Q46"/>
    </row>
    <row r="47" spans="1:17" s="199" customFormat="1" ht="12.75" customHeight="1">
      <c r="A47" s="282" t="s">
        <v>123</v>
      </c>
      <c r="B47" s="246" t="s">
        <v>181</v>
      </c>
      <c r="C47" s="247">
        <v>61</v>
      </c>
      <c r="D47" s="262">
        <v>72</v>
      </c>
      <c r="E47" s="249">
        <f>IF(C47&gt;=0.9*D47,D47,C47+0.1*D47)</f>
        <v>68.2</v>
      </c>
      <c r="F47" s="250"/>
      <c r="G47" s="251">
        <f>E47+F47</f>
        <v>68.2</v>
      </c>
      <c r="H47" s="252">
        <v>3.5</v>
      </c>
      <c r="I47" s="250">
        <f>E47*H47</f>
        <v>238.70000000000002</v>
      </c>
      <c r="J47" s="253"/>
      <c r="K47" s="254">
        <f>I47+J47</f>
        <v>238.70000000000002</v>
      </c>
      <c r="L47" s="255"/>
      <c r="M47" s="256">
        <f>IF(D47&gt;C47,C47-D47,0)</f>
        <v>-11</v>
      </c>
      <c r="N47" s="257">
        <f>IF(D47&lt;C47,C47-D47,0)</f>
        <v>0</v>
      </c>
      <c r="O47"/>
      <c r="P47"/>
      <c r="Q47"/>
    </row>
    <row r="48" spans="1:16" ht="12.75" customHeight="1">
      <c r="A48" s="259" t="s">
        <v>123</v>
      </c>
      <c r="B48" s="260" t="s">
        <v>182</v>
      </c>
      <c r="C48" s="261">
        <v>56.5</v>
      </c>
      <c r="D48" s="262">
        <v>74.0179377571401</v>
      </c>
      <c r="E48" s="249">
        <f>IF(C48&gt;=0.9*D48,D48,C48+0.1*D48)</f>
        <v>63.90179377571401</v>
      </c>
      <c r="F48" s="263"/>
      <c r="G48" s="251">
        <f>E48+F48</f>
        <v>63.90179377571401</v>
      </c>
      <c r="H48" s="264">
        <v>3.101769911504425</v>
      </c>
      <c r="I48" s="250">
        <f>E48*H48</f>
        <v>198.20866122467046</v>
      </c>
      <c r="J48" s="265"/>
      <c r="K48" s="254">
        <f>I48+J48</f>
        <v>198.20866122467046</v>
      </c>
      <c r="L48" s="266"/>
      <c r="M48" s="256">
        <f>IF(D48&gt;C48,C48-D48,0)</f>
        <v>-17.517937757140103</v>
      </c>
      <c r="N48" s="257">
        <f>IF(D48&lt;C48,C48-D48,0)</f>
        <v>0</v>
      </c>
      <c r="O48"/>
      <c r="P48"/>
    </row>
    <row r="49" spans="1:16" s="199" customFormat="1" ht="12.75" customHeight="1" thickBot="1">
      <c r="A49" s="283" t="s">
        <v>123</v>
      </c>
      <c r="B49" s="268" t="s">
        <v>183</v>
      </c>
      <c r="C49" s="247">
        <v>1998.5</v>
      </c>
      <c r="D49" s="248">
        <v>1981.1856275956945</v>
      </c>
      <c r="E49" s="249">
        <f>IF(C49&lt;D49,C49,D49)</f>
        <v>1981.1856275956945</v>
      </c>
      <c r="F49" s="263"/>
      <c r="G49" s="251">
        <f>E49+F49</f>
        <v>1981.1856275956945</v>
      </c>
      <c r="H49" s="252">
        <v>3.130662997247936</v>
      </c>
      <c r="I49" s="250">
        <f>E49*H49</f>
        <v>6202.42453499327</v>
      </c>
      <c r="J49" s="269"/>
      <c r="K49" s="254">
        <f>I49+J49</f>
        <v>6202.42453499327</v>
      </c>
      <c r="L49" s="270"/>
      <c r="M49" s="256">
        <f>IF(D49&gt;C49,C49-D49,0)</f>
        <v>0</v>
      </c>
      <c r="N49" s="257">
        <f>IF(D49&lt;C49,C49-D49,0)</f>
        <v>17.31437240430546</v>
      </c>
      <c r="O49"/>
      <c r="P49"/>
    </row>
    <row r="50" spans="1:16" s="199" customFormat="1" ht="12.75" customHeight="1" thickBot="1">
      <c r="A50" s="271" t="s">
        <v>123</v>
      </c>
      <c r="B50" s="272" t="s">
        <v>144</v>
      </c>
      <c r="C50" s="273">
        <f>SUM(C45:C49)</f>
        <v>2809.5</v>
      </c>
      <c r="D50" s="274">
        <f>SUM(D45:D49)</f>
        <v>2703.4103738540994</v>
      </c>
      <c r="E50" s="274">
        <f>SUM(E45:E49)</f>
        <v>2689.4942298726733</v>
      </c>
      <c r="F50" s="275">
        <f>SUM(F45:F49)</f>
        <v>0</v>
      </c>
      <c r="G50" s="276">
        <f>SUM(G45:G49)</f>
        <v>2689.4942298726733</v>
      </c>
      <c r="H50" s="275"/>
      <c r="I50" s="275">
        <f>SUM(I45:I49)</f>
        <v>8471.350270501387</v>
      </c>
      <c r="J50" s="275">
        <f>SUM(J45:J49)</f>
        <v>0</v>
      </c>
      <c r="K50" s="277">
        <f>SUM(K45:K49)</f>
        <v>8471.350270501387</v>
      </c>
      <c r="L50" s="278">
        <f>ROUND(K50*$N$186/$K$176,0)</f>
        <v>207016</v>
      </c>
      <c r="M50" s="279">
        <f>SUM(M45:M49)</f>
        <v>-28.517937757140103</v>
      </c>
      <c r="N50" s="280">
        <f>SUM(N45:N49)</f>
        <v>134.60756390304076</v>
      </c>
      <c r="O50"/>
      <c r="P50"/>
    </row>
    <row r="51" spans="1:16" s="199" customFormat="1" ht="12.75" customHeight="1">
      <c r="A51" s="281" t="s">
        <v>190</v>
      </c>
      <c r="B51" s="246" t="s">
        <v>179</v>
      </c>
      <c r="C51" s="247">
        <v>3044</v>
      </c>
      <c r="D51" s="248">
        <v>2843</v>
      </c>
      <c r="E51" s="249">
        <f>IF(C51&gt;=0.9*D51,D51,C51+0.1*D51)</f>
        <v>2843</v>
      </c>
      <c r="F51" s="250"/>
      <c r="G51" s="251">
        <f>E51+F51</f>
        <v>2843</v>
      </c>
      <c r="H51" s="252">
        <v>1.5179369250985546</v>
      </c>
      <c r="I51" s="250">
        <f>E51*H51</f>
        <v>4315.494678055191</v>
      </c>
      <c r="J51" s="253"/>
      <c r="K51" s="254">
        <f>I51+J51</f>
        <v>4315.494678055191</v>
      </c>
      <c r="L51" s="255"/>
      <c r="M51" s="256">
        <f>IF(D51&gt;C51,C51-D51,0)</f>
        <v>0</v>
      </c>
      <c r="N51" s="257">
        <f>IF(D51&lt;C51,C51-D51,0)</f>
        <v>201</v>
      </c>
      <c r="O51"/>
      <c r="P51"/>
    </row>
    <row r="52" spans="1:16" s="199" customFormat="1" ht="12.75" customHeight="1">
      <c r="A52" s="282" t="s">
        <v>190</v>
      </c>
      <c r="B52" s="246" t="s">
        <v>180</v>
      </c>
      <c r="C52" s="247">
        <v>222.5</v>
      </c>
      <c r="D52" s="248">
        <v>192</v>
      </c>
      <c r="E52" s="249">
        <f>IF(C52&gt;=0.9*D52,D52,C52+0.1*D52)</f>
        <v>192</v>
      </c>
      <c r="F52" s="250"/>
      <c r="G52" s="251">
        <f>E52+F52</f>
        <v>192</v>
      </c>
      <c r="H52" s="252">
        <v>1.983820224719101</v>
      </c>
      <c r="I52" s="250">
        <f>E52*H52</f>
        <v>380.8934831460674</v>
      </c>
      <c r="J52" s="253"/>
      <c r="K52" s="254">
        <f>I52+J52</f>
        <v>380.8934831460674</v>
      </c>
      <c r="L52" s="255"/>
      <c r="M52" s="256">
        <f>IF(D52&gt;C52,C52-D52,0)</f>
        <v>0</v>
      </c>
      <c r="N52" s="257">
        <f>IF(D52&lt;C52,C52-D52,0)</f>
        <v>30.5</v>
      </c>
      <c r="O52"/>
      <c r="P52"/>
    </row>
    <row r="53" spans="1:16" s="199" customFormat="1" ht="12.75" customHeight="1">
      <c r="A53" s="282" t="s">
        <v>190</v>
      </c>
      <c r="B53" s="246" t="s">
        <v>181</v>
      </c>
      <c r="C53" s="247">
        <v>997</v>
      </c>
      <c r="D53" s="248">
        <v>865</v>
      </c>
      <c r="E53" s="249">
        <f>IF(C53&gt;=0.9*D53,D53,C53+0.1*D53)</f>
        <v>865</v>
      </c>
      <c r="F53" s="250"/>
      <c r="G53" s="251">
        <f>E53+F53</f>
        <v>865</v>
      </c>
      <c r="H53" s="252">
        <v>1.5244533600802408</v>
      </c>
      <c r="I53" s="250">
        <f>E53*H53</f>
        <v>1318.6521564694083</v>
      </c>
      <c r="J53" s="253"/>
      <c r="K53" s="254">
        <f>I53+J53</f>
        <v>1318.6521564694083</v>
      </c>
      <c r="L53" s="255"/>
      <c r="M53" s="256">
        <f>IF(D53&gt;C53,C53-D53,0)</f>
        <v>0</v>
      </c>
      <c r="N53" s="257">
        <f>IF(D53&lt;C53,C53-D53,0)</f>
        <v>132</v>
      </c>
      <c r="O53"/>
      <c r="P53"/>
    </row>
    <row r="54" spans="1:16" ht="12.75" customHeight="1">
      <c r="A54" s="259" t="s">
        <v>190</v>
      </c>
      <c r="B54" s="260" t="s">
        <v>182</v>
      </c>
      <c r="C54" s="261">
        <v>122</v>
      </c>
      <c r="D54" s="262">
        <v>85</v>
      </c>
      <c r="E54" s="249">
        <f>IF(C54&gt;=0.9*D54,D54,C54+0.1*D54)</f>
        <v>85</v>
      </c>
      <c r="F54" s="263"/>
      <c r="G54" s="251">
        <f>E54+F54</f>
        <v>85</v>
      </c>
      <c r="H54" s="264">
        <v>1.5454918032786886</v>
      </c>
      <c r="I54" s="250">
        <f>E54*H54</f>
        <v>131.36680327868854</v>
      </c>
      <c r="J54" s="265"/>
      <c r="K54" s="254">
        <f>I54+J54</f>
        <v>131.36680327868854</v>
      </c>
      <c r="L54" s="266"/>
      <c r="M54" s="256">
        <f>IF(D54&gt;C54,C54-D54,0)</f>
        <v>0</v>
      </c>
      <c r="N54" s="257">
        <f>IF(D54&lt;C54,C54-D54,0)</f>
        <v>37</v>
      </c>
      <c r="O54"/>
      <c r="P54"/>
    </row>
    <row r="55" spans="1:16" s="199" customFormat="1" ht="12.75" customHeight="1" thickBot="1">
      <c r="A55" s="283" t="s">
        <v>190</v>
      </c>
      <c r="B55" s="268" t="s">
        <v>183</v>
      </c>
      <c r="C55" s="247">
        <v>5586.5</v>
      </c>
      <c r="D55" s="248">
        <v>4949</v>
      </c>
      <c r="E55" s="249">
        <f>IF(C55&lt;D55,C55,D55)</f>
        <v>4949</v>
      </c>
      <c r="F55" s="263"/>
      <c r="G55" s="251">
        <f>E55+F55</f>
        <v>4949</v>
      </c>
      <c r="H55" s="252">
        <v>1.5429052358363915</v>
      </c>
      <c r="I55" s="250">
        <f>E55*H55</f>
        <v>7635.838012154301</v>
      </c>
      <c r="J55" s="269"/>
      <c r="K55" s="254">
        <f>I55+J55</f>
        <v>7635.838012154301</v>
      </c>
      <c r="L55" s="270"/>
      <c r="M55" s="256">
        <f>IF(D55&gt;C55,C55-D55,0)</f>
        <v>0</v>
      </c>
      <c r="N55" s="257">
        <f>IF(D55&lt;C55,C55-D55,0)</f>
        <v>637.5</v>
      </c>
      <c r="O55"/>
      <c r="P55"/>
    </row>
    <row r="56" spans="1:16" s="199" customFormat="1" ht="12.75" customHeight="1" thickBot="1">
      <c r="A56" s="271" t="s">
        <v>190</v>
      </c>
      <c r="B56" s="272" t="s">
        <v>144</v>
      </c>
      <c r="C56" s="273">
        <f>SUM(C51:C55)</f>
        <v>9972</v>
      </c>
      <c r="D56" s="274">
        <f>SUM(D51:D55)</f>
        <v>8934</v>
      </c>
      <c r="E56" s="274">
        <f>SUM(E51:E55)</f>
        <v>8934</v>
      </c>
      <c r="F56" s="275">
        <f>SUM(F51:F55)</f>
        <v>0</v>
      </c>
      <c r="G56" s="276">
        <f>SUM(G51:G55)</f>
        <v>8934</v>
      </c>
      <c r="H56" s="275"/>
      <c r="I56" s="275">
        <f>SUM(I51:I55)</f>
        <v>13782.245133103657</v>
      </c>
      <c r="J56" s="275">
        <f>SUM(J51:J55)</f>
        <v>0</v>
      </c>
      <c r="K56" s="277">
        <f>SUM(K51:K55)</f>
        <v>13782.245133103657</v>
      </c>
      <c r="L56" s="278">
        <f>ROUND(K56*$N$186/$K$176,0)</f>
        <v>336799</v>
      </c>
      <c r="M56" s="279">
        <f>SUM(M51:M55)</f>
        <v>0</v>
      </c>
      <c r="N56" s="280">
        <f>SUM(N51:N55)</f>
        <v>1038</v>
      </c>
      <c r="O56"/>
      <c r="P56"/>
    </row>
    <row r="57" spans="1:16" s="199" customFormat="1" ht="12.75" customHeight="1">
      <c r="A57" s="286" t="s">
        <v>191</v>
      </c>
      <c r="B57" s="246" t="s">
        <v>179</v>
      </c>
      <c r="C57" s="247">
        <v>2623.5</v>
      </c>
      <c r="D57" s="248">
        <v>2296</v>
      </c>
      <c r="E57" s="249">
        <f>IF(C57&gt;=0.9*D57,D57,C57+0.1*D57)</f>
        <v>2296</v>
      </c>
      <c r="F57" s="250"/>
      <c r="G57" s="251">
        <f>E57+F57</f>
        <v>2296</v>
      </c>
      <c r="H57" s="252">
        <v>1.2821154945683249</v>
      </c>
      <c r="I57" s="250">
        <f>E57*H57</f>
        <v>2943.7371755288736</v>
      </c>
      <c r="J57" s="253"/>
      <c r="K57" s="254">
        <f>I57+J57</f>
        <v>2943.7371755288736</v>
      </c>
      <c r="L57" s="255"/>
      <c r="M57" s="256">
        <f>IF(D57&gt;C57,C57-D57,0)</f>
        <v>0</v>
      </c>
      <c r="N57" s="257">
        <f>IF(D57&lt;C57,C57-D57,0)</f>
        <v>327.5</v>
      </c>
      <c r="O57"/>
      <c r="P57"/>
    </row>
    <row r="58" spans="1:16" s="199" customFormat="1" ht="12.75" customHeight="1">
      <c r="A58" s="245" t="s">
        <v>191</v>
      </c>
      <c r="B58" s="246" t="s">
        <v>180</v>
      </c>
      <c r="C58" s="247">
        <v>111</v>
      </c>
      <c r="D58" s="248">
        <v>95</v>
      </c>
      <c r="E58" s="249">
        <f>IF(C58&gt;=0.9*D58,D58,C58+0.1*D58)</f>
        <v>95</v>
      </c>
      <c r="F58" s="250"/>
      <c r="G58" s="251">
        <f>E58+F58</f>
        <v>95</v>
      </c>
      <c r="H58" s="252">
        <v>1.2</v>
      </c>
      <c r="I58" s="250">
        <f>E58*H58</f>
        <v>114</v>
      </c>
      <c r="J58" s="253"/>
      <c r="K58" s="254">
        <f>I58+J58</f>
        <v>114</v>
      </c>
      <c r="L58" s="255"/>
      <c r="M58" s="256">
        <f>IF(D58&gt;C58,C58-D58,0)</f>
        <v>0</v>
      </c>
      <c r="N58" s="257">
        <f>IF(D58&lt;C58,C58-D58,0)</f>
        <v>16</v>
      </c>
      <c r="O58"/>
      <c r="P58"/>
    </row>
    <row r="59" spans="1:16" s="199" customFormat="1" ht="12.75" customHeight="1">
      <c r="A59" s="245" t="s">
        <v>191</v>
      </c>
      <c r="B59" s="246" t="s">
        <v>181</v>
      </c>
      <c r="C59" s="247">
        <v>691</v>
      </c>
      <c r="D59" s="248">
        <v>742</v>
      </c>
      <c r="E59" s="249">
        <f>IF(C59&gt;=0.9*D59,D59,C59+0.1*D59)</f>
        <v>742</v>
      </c>
      <c r="F59" s="250"/>
      <c r="G59" s="251">
        <f>E59+F59</f>
        <v>742</v>
      </c>
      <c r="H59" s="252">
        <v>1.322793053545586</v>
      </c>
      <c r="I59" s="250">
        <f>E59*H59</f>
        <v>981.5124457308249</v>
      </c>
      <c r="J59" s="253"/>
      <c r="K59" s="254">
        <f>I59+J59</f>
        <v>981.5124457308249</v>
      </c>
      <c r="L59" s="255"/>
      <c r="M59" s="256">
        <f>IF(D59&gt;C59,C59-D59,0)</f>
        <v>-51</v>
      </c>
      <c r="N59" s="257">
        <f>IF(D59&lt;C59,C59-D59,0)</f>
        <v>0</v>
      </c>
      <c r="O59"/>
      <c r="P59"/>
    </row>
    <row r="60" spans="1:16" ht="12.75" customHeight="1">
      <c r="A60" s="287" t="s">
        <v>192</v>
      </c>
      <c r="B60" s="260" t="s">
        <v>182</v>
      </c>
      <c r="C60" s="261">
        <v>41</v>
      </c>
      <c r="D60" s="262">
        <v>34</v>
      </c>
      <c r="E60" s="249">
        <f>IF(C60&gt;=0.9*D60,D60,C60+0.1*D60)</f>
        <v>34</v>
      </c>
      <c r="F60" s="263"/>
      <c r="G60" s="251">
        <f>E60+F60</f>
        <v>34</v>
      </c>
      <c r="H60" s="264">
        <v>1.2060975609756097</v>
      </c>
      <c r="I60" s="250">
        <f>E60*H60</f>
        <v>41.00731707317073</v>
      </c>
      <c r="J60" s="265"/>
      <c r="K60" s="254">
        <f>I60+J60</f>
        <v>41.00731707317073</v>
      </c>
      <c r="L60" s="266"/>
      <c r="M60" s="256">
        <f>IF(D60&gt;C60,C60-D60,0)</f>
        <v>0</v>
      </c>
      <c r="N60" s="257">
        <f>IF(D60&lt;C60,C60-D60,0)</f>
        <v>7</v>
      </c>
      <c r="O60"/>
      <c r="P60"/>
    </row>
    <row r="61" spans="1:16" s="199" customFormat="1" ht="12.75" customHeight="1" thickBot="1">
      <c r="A61" s="267" t="s">
        <v>191</v>
      </c>
      <c r="B61" s="268" t="s">
        <v>183</v>
      </c>
      <c r="C61" s="247">
        <v>5127</v>
      </c>
      <c r="D61" s="248">
        <v>4779</v>
      </c>
      <c r="E61" s="249">
        <f>IF(C61&lt;D61,C61,D61)</f>
        <v>4779</v>
      </c>
      <c r="F61" s="263"/>
      <c r="G61" s="251">
        <f>E61+F61</f>
        <v>4779</v>
      </c>
      <c r="H61" s="252">
        <v>1.237359079383655</v>
      </c>
      <c r="I61" s="250">
        <f>E61*H61</f>
        <v>5913.339040374488</v>
      </c>
      <c r="J61" s="269"/>
      <c r="K61" s="254">
        <f>I61+J61</f>
        <v>5913.339040374488</v>
      </c>
      <c r="L61" s="270"/>
      <c r="M61" s="256">
        <f>IF(D61&gt;C61,C61-D61,0)</f>
        <v>0</v>
      </c>
      <c r="N61" s="257">
        <f>IF(D61&lt;C61,C61-D61,0)</f>
        <v>348</v>
      </c>
      <c r="O61"/>
      <c r="P61"/>
    </row>
    <row r="62" spans="1:16" s="199" customFormat="1" ht="12.75" customHeight="1" thickBot="1">
      <c r="A62" s="271" t="s">
        <v>191</v>
      </c>
      <c r="B62" s="272" t="s">
        <v>144</v>
      </c>
      <c r="C62" s="273">
        <f>SUM(C57:C61)</f>
        <v>8593.5</v>
      </c>
      <c r="D62" s="274">
        <f>SUM(D57:D61)</f>
        <v>7946</v>
      </c>
      <c r="E62" s="274">
        <f>SUM(E57:E61)</f>
        <v>7946</v>
      </c>
      <c r="F62" s="275">
        <f>SUM(F57:F61)</f>
        <v>0</v>
      </c>
      <c r="G62" s="276">
        <f>SUM(G57:G61)</f>
        <v>7946</v>
      </c>
      <c r="H62" s="275"/>
      <c r="I62" s="275">
        <f>SUM(I57:I61)</f>
        <v>9993.595978707357</v>
      </c>
      <c r="J62" s="275">
        <f>SUM(J57:J61)</f>
        <v>0</v>
      </c>
      <c r="K62" s="277">
        <f>SUM(K57:K61)</f>
        <v>9993.595978707357</v>
      </c>
      <c r="L62" s="278">
        <f>ROUND(K62*$N$186/$K$176,0)</f>
        <v>244215</v>
      </c>
      <c r="M62" s="279">
        <f>SUM(M57:M61)</f>
        <v>-51</v>
      </c>
      <c r="N62" s="280">
        <f>SUM(N57:N61)</f>
        <v>698.5</v>
      </c>
      <c r="O62"/>
      <c r="P62"/>
    </row>
    <row r="63" spans="1:16" s="199" customFormat="1" ht="12.75" customHeight="1">
      <c r="A63" s="281" t="s">
        <v>193</v>
      </c>
      <c r="B63" s="246" t="s">
        <v>179</v>
      </c>
      <c r="C63" s="247">
        <v>2725.5</v>
      </c>
      <c r="D63" s="262">
        <v>2725.56</v>
      </c>
      <c r="E63" s="249">
        <f>IF(C63&gt;=0.9*D63,D63,C63+0.1*D63)</f>
        <v>2725.56</v>
      </c>
      <c r="F63" s="250"/>
      <c r="G63" s="251">
        <f>E63+F63</f>
        <v>2725.56</v>
      </c>
      <c r="H63" s="252">
        <v>1.3159236837277564</v>
      </c>
      <c r="I63" s="250">
        <f>E63*H63</f>
        <v>3586.6289554210234</v>
      </c>
      <c r="J63" s="253"/>
      <c r="K63" s="254">
        <f>I63+J63</f>
        <v>3586.6289554210234</v>
      </c>
      <c r="L63" s="255"/>
      <c r="M63" s="256">
        <f>IF(D63&gt;C63,C63-D63,0)</f>
        <v>-0.05999999999994543</v>
      </c>
      <c r="N63" s="257">
        <f>IF(D63&lt;C63,C63-D63,0)</f>
        <v>0</v>
      </c>
      <c r="O63"/>
      <c r="P63"/>
    </row>
    <row r="64" spans="1:16" s="199" customFormat="1" ht="12.75" customHeight="1">
      <c r="A64" s="282" t="s">
        <v>193</v>
      </c>
      <c r="B64" s="246" t="s">
        <v>180</v>
      </c>
      <c r="C64" s="247">
        <v>2</v>
      </c>
      <c r="D64" s="262">
        <v>5.07</v>
      </c>
      <c r="E64" s="249">
        <f>IF(C64&gt;=0.9*D64,D64,C64+0.1*D64)</f>
        <v>2.507</v>
      </c>
      <c r="F64" s="250"/>
      <c r="G64" s="251">
        <f>E64+F64</f>
        <v>2.507</v>
      </c>
      <c r="H64" s="252">
        <v>2.25</v>
      </c>
      <c r="I64" s="250">
        <f>E64*H64</f>
        <v>5.640750000000001</v>
      </c>
      <c r="J64" s="253"/>
      <c r="K64" s="254">
        <f>I64+J64</f>
        <v>5.640750000000001</v>
      </c>
      <c r="L64" s="255"/>
      <c r="M64" s="256">
        <f>IF(D64&gt;C64,C64-D64,0)</f>
        <v>-3.0700000000000003</v>
      </c>
      <c r="N64" s="257">
        <f>IF(D64&lt;C64,C64-D64,0)</f>
        <v>0</v>
      </c>
      <c r="O64"/>
      <c r="P64"/>
    </row>
    <row r="65" spans="1:16" s="199" customFormat="1" ht="12.75" customHeight="1">
      <c r="A65" s="282" t="s">
        <v>193</v>
      </c>
      <c r="B65" s="246" t="s">
        <v>181</v>
      </c>
      <c r="C65" s="247">
        <v>850</v>
      </c>
      <c r="D65" s="262">
        <v>1027.4747564599606</v>
      </c>
      <c r="E65" s="249">
        <f>IF(C65&gt;=0.9*D65,D65,C65+0.1*D65)</f>
        <v>952.747475645996</v>
      </c>
      <c r="F65" s="250"/>
      <c r="G65" s="251">
        <f>E65+F65</f>
        <v>952.747475645996</v>
      </c>
      <c r="H65" s="252">
        <v>1.0431176470588235</v>
      </c>
      <c r="I65" s="250">
        <f>E65*H65</f>
        <v>993.8277050370851</v>
      </c>
      <c r="J65" s="253"/>
      <c r="K65" s="254">
        <f>I65+J65</f>
        <v>993.8277050370851</v>
      </c>
      <c r="L65" s="255"/>
      <c r="M65" s="256">
        <f>IF(D65&gt;C65,C65-D65,0)</f>
        <v>-177.47475645996064</v>
      </c>
      <c r="N65" s="257">
        <f>IF(D65&lt;C65,C65-D65,0)</f>
        <v>0</v>
      </c>
      <c r="O65"/>
      <c r="P65"/>
    </row>
    <row r="66" spans="1:16" ht="12.75" customHeight="1">
      <c r="A66" s="259" t="s">
        <v>193</v>
      </c>
      <c r="B66" s="260" t="s">
        <v>182</v>
      </c>
      <c r="C66" s="261">
        <v>40</v>
      </c>
      <c r="D66" s="262">
        <v>55.14412441065784</v>
      </c>
      <c r="E66" s="249">
        <f>IF(C66&gt;=0.9*D66,D66,C66+0.1*D66)</f>
        <v>45.51441244106579</v>
      </c>
      <c r="F66" s="263"/>
      <c r="G66" s="251">
        <f>E66+F66</f>
        <v>45.51441244106579</v>
      </c>
      <c r="H66" s="264">
        <v>1.37125</v>
      </c>
      <c r="I66" s="250">
        <f>E66*H66</f>
        <v>62.411638059811466</v>
      </c>
      <c r="J66" s="265"/>
      <c r="K66" s="254">
        <f>I66+J66</f>
        <v>62.411638059811466</v>
      </c>
      <c r="L66" s="266"/>
      <c r="M66" s="256">
        <f>IF(D66&gt;C66,C66-D66,0)</f>
        <v>-15.144124410657838</v>
      </c>
      <c r="N66" s="257">
        <f>IF(D66&lt;C66,C66-D66,0)</f>
        <v>0</v>
      </c>
      <c r="O66"/>
      <c r="P66"/>
    </row>
    <row r="67" spans="1:16" s="199" customFormat="1" ht="12.75" customHeight="1" thickBot="1">
      <c r="A67" s="283" t="s">
        <v>193</v>
      </c>
      <c r="B67" s="268" t="s">
        <v>183</v>
      </c>
      <c r="C67" s="247">
        <v>4518.5</v>
      </c>
      <c r="D67" s="248">
        <v>3806.4429759166173</v>
      </c>
      <c r="E67" s="249">
        <f>IF(C67&lt;D67,C67,D67)</f>
        <v>3806.4429759166173</v>
      </c>
      <c r="F67" s="263"/>
      <c r="G67" s="251">
        <f>E67+F67</f>
        <v>3806.4429759166173</v>
      </c>
      <c r="H67" s="252">
        <v>1.3036494411862345</v>
      </c>
      <c r="I67" s="250">
        <f>E67*H67</f>
        <v>4962.267258460965</v>
      </c>
      <c r="J67" s="269"/>
      <c r="K67" s="254">
        <f>I67+J67</f>
        <v>4962.267258460965</v>
      </c>
      <c r="L67" s="270"/>
      <c r="M67" s="256">
        <f>IF(D67&gt;C67,C67-D67,0)</f>
        <v>0</v>
      </c>
      <c r="N67" s="257">
        <f>IF(D67&lt;C67,C67-D67,0)</f>
        <v>712.0570240833827</v>
      </c>
      <c r="O67"/>
      <c r="P67"/>
    </row>
    <row r="68" spans="1:16" s="199" customFormat="1" ht="12.75" customHeight="1" thickBot="1">
      <c r="A68" s="271" t="s">
        <v>193</v>
      </c>
      <c r="B68" s="272" t="s">
        <v>144</v>
      </c>
      <c r="C68" s="273">
        <f>SUM(C63:C67)</f>
        <v>8136</v>
      </c>
      <c r="D68" s="274">
        <f>SUM(D63:D67)</f>
        <v>7619.691856787236</v>
      </c>
      <c r="E68" s="274">
        <f>SUM(E63:E67)</f>
        <v>7532.771864003679</v>
      </c>
      <c r="F68" s="275">
        <f>SUM(F63:F67)</f>
        <v>0</v>
      </c>
      <c r="G68" s="276">
        <f>SUM(G63:G67)</f>
        <v>7532.771864003679</v>
      </c>
      <c r="H68" s="275"/>
      <c r="I68" s="275">
        <f>SUM(I63:I67)</f>
        <v>9610.776306978885</v>
      </c>
      <c r="J68" s="275">
        <f>SUM(J63:J67)</f>
        <v>0</v>
      </c>
      <c r="K68" s="277">
        <f>SUM(K63:K67)</f>
        <v>9610.776306978885</v>
      </c>
      <c r="L68" s="278">
        <f>ROUND(K68*$N$186/$K$176,0)</f>
        <v>234860</v>
      </c>
      <c r="M68" s="279">
        <f>SUM(M63:M67)</f>
        <v>-195.74888087061842</v>
      </c>
      <c r="N68" s="280">
        <f>SUM(N63:N67)</f>
        <v>712.0570240833827</v>
      </c>
      <c r="O68"/>
      <c r="P68"/>
    </row>
    <row r="69" spans="1:16" s="199" customFormat="1" ht="12.75" customHeight="1">
      <c r="A69" s="288" t="s">
        <v>194</v>
      </c>
      <c r="B69" s="246" t="s">
        <v>179</v>
      </c>
      <c r="C69" s="247">
        <v>6438.5</v>
      </c>
      <c r="D69" s="248">
        <v>6494.4859081878</v>
      </c>
      <c r="E69" s="249">
        <f>IF(C69&gt;=0.9*D69,D69,C69+0.1*D69)</f>
        <v>6494.4859081878</v>
      </c>
      <c r="F69" s="250"/>
      <c r="G69" s="251">
        <f>E69+F69</f>
        <v>6494.4859081878</v>
      </c>
      <c r="H69" s="252">
        <v>1.878639450182496</v>
      </c>
      <c r="I69" s="250">
        <f>E69*H69</f>
        <v>12200.797435775896</v>
      </c>
      <c r="J69" s="253"/>
      <c r="K69" s="254">
        <f>I69+J69</f>
        <v>12200.797435775896</v>
      </c>
      <c r="L69" s="255"/>
      <c r="M69" s="256">
        <f>IF(D69&gt;C69,C69-D69,0)</f>
        <v>-55.985908187800305</v>
      </c>
      <c r="N69" s="257">
        <f>IF(D69&lt;C69,C69-D69,0)</f>
        <v>0</v>
      </c>
      <c r="O69"/>
      <c r="P69"/>
    </row>
    <row r="70" spans="1:16" s="199" customFormat="1" ht="12.75" customHeight="1">
      <c r="A70" s="187" t="s">
        <v>194</v>
      </c>
      <c r="B70" s="246" t="s">
        <v>180</v>
      </c>
      <c r="C70" s="247">
        <v>0</v>
      </c>
      <c r="D70" s="248">
        <v>0</v>
      </c>
      <c r="E70" s="249">
        <f>IF(C70&gt;=0.9*D70,D70,C70+0.1*D70)</f>
        <v>0</v>
      </c>
      <c r="F70" s="250"/>
      <c r="G70" s="251">
        <f>E70+F70</f>
        <v>0</v>
      </c>
      <c r="H70" s="252"/>
      <c r="I70" s="250">
        <f>E70*H70</f>
        <v>0</v>
      </c>
      <c r="J70" s="253"/>
      <c r="K70" s="254">
        <f>I70+J70</f>
        <v>0</v>
      </c>
      <c r="L70" s="255"/>
      <c r="M70" s="256">
        <f>IF(D70&gt;C70,C70-D70,0)</f>
        <v>0</v>
      </c>
      <c r="N70" s="257">
        <f>IF(D70&lt;C70,C70-D70,0)</f>
        <v>0</v>
      </c>
      <c r="O70"/>
      <c r="P70"/>
    </row>
    <row r="71" spans="1:16" s="199" customFormat="1" ht="12.75" customHeight="1">
      <c r="A71" s="187" t="s">
        <v>194</v>
      </c>
      <c r="B71" s="246" t="s">
        <v>181</v>
      </c>
      <c r="C71" s="247">
        <v>2715.5</v>
      </c>
      <c r="D71" s="262">
        <v>2444.4065955110373</v>
      </c>
      <c r="E71" s="249">
        <f>IF(C71&gt;=0.9*D71,D71,C71+0.1*D71)</f>
        <v>2444.4065955110373</v>
      </c>
      <c r="F71" s="250"/>
      <c r="G71" s="251">
        <f>E71+F71</f>
        <v>2444.4065955110373</v>
      </c>
      <c r="H71" s="252">
        <v>1.850513717547413</v>
      </c>
      <c r="I71" s="250">
        <f>E71*H71</f>
        <v>4523.407936256544</v>
      </c>
      <c r="J71" s="253"/>
      <c r="K71" s="254">
        <f>I71+J71</f>
        <v>4523.407936256544</v>
      </c>
      <c r="L71" s="255"/>
      <c r="M71" s="256">
        <f>IF(D71&gt;C71,C71-D71,0)</f>
        <v>0</v>
      </c>
      <c r="N71" s="257">
        <f>IF(D71&lt;C71,C71-D71,0)</f>
        <v>271.09340448896273</v>
      </c>
      <c r="O71"/>
      <c r="P71"/>
    </row>
    <row r="72" spans="1:16" ht="12.75" customHeight="1">
      <c r="A72" s="259" t="s">
        <v>194</v>
      </c>
      <c r="B72" s="260" t="s">
        <v>182</v>
      </c>
      <c r="C72" s="261">
        <v>455.5</v>
      </c>
      <c r="D72" s="262">
        <v>510.7916417022618</v>
      </c>
      <c r="E72" s="249">
        <f>IF(C72&gt;=0.9*D72,D72,C72+0.1*D72)</f>
        <v>506.5791641702262</v>
      </c>
      <c r="F72" s="263"/>
      <c r="G72" s="251">
        <f>E72+F72</f>
        <v>506.5791641702262</v>
      </c>
      <c r="H72" s="264">
        <v>1.937826564215148</v>
      </c>
      <c r="I72" s="250">
        <f>E72*H72</f>
        <v>981.6625612069708</v>
      </c>
      <c r="J72" s="265"/>
      <c r="K72" s="254">
        <f>I72+J72</f>
        <v>981.6625612069708</v>
      </c>
      <c r="L72" s="266"/>
      <c r="M72" s="256">
        <f>IF(D72&gt;C72,C72-D72,0)</f>
        <v>-55.29164170226181</v>
      </c>
      <c r="N72" s="257">
        <f>IF(D72&lt;C72,C72-D72,0)</f>
        <v>0</v>
      </c>
      <c r="O72"/>
      <c r="P72"/>
    </row>
    <row r="73" spans="1:14" s="199" customFormat="1" ht="12.75" customHeight="1" thickBot="1">
      <c r="A73" s="289" t="s">
        <v>194</v>
      </c>
      <c r="B73" s="268" t="s">
        <v>183</v>
      </c>
      <c r="C73" s="247">
        <v>12136</v>
      </c>
      <c r="D73" s="248">
        <v>11500.364498205729</v>
      </c>
      <c r="E73" s="249">
        <f>IF(C73&lt;D73,C73,D73)</f>
        <v>11500.364498205729</v>
      </c>
      <c r="F73" s="263"/>
      <c r="G73" s="251">
        <f>E73+F73</f>
        <v>11500.364498205729</v>
      </c>
      <c r="H73" s="252">
        <v>1.8738463991430456</v>
      </c>
      <c r="I73" s="250">
        <f>E73*H73</f>
        <v>21549.916603795322</v>
      </c>
      <c r="J73" s="269"/>
      <c r="K73" s="254">
        <f>I73+J73</f>
        <v>21549.916603795322</v>
      </c>
      <c r="L73" s="270"/>
      <c r="M73" s="256">
        <f>IF(D73&gt;C73,C73-D73,0)</f>
        <v>0</v>
      </c>
      <c r="N73" s="257">
        <f>IF(D73&lt;C73,C73-D73,0)</f>
        <v>635.6355017942715</v>
      </c>
    </row>
    <row r="74" spans="1:14" s="199" customFormat="1" ht="12.75" customHeight="1" thickBot="1">
      <c r="A74" s="271" t="s">
        <v>195</v>
      </c>
      <c r="B74" s="272" t="s">
        <v>144</v>
      </c>
      <c r="C74" s="273">
        <f>SUM(C69:C73)</f>
        <v>21745.5</v>
      </c>
      <c r="D74" s="274">
        <f>SUM(D69:D73)</f>
        <v>20950.048643606828</v>
      </c>
      <c r="E74" s="274">
        <f>SUM(E69:E73)</f>
        <v>20945.83616607479</v>
      </c>
      <c r="F74" s="275">
        <f>SUM(F69:F73)</f>
        <v>0</v>
      </c>
      <c r="G74" s="276">
        <f>SUM(G69:G73)</f>
        <v>20945.83616607479</v>
      </c>
      <c r="H74" s="275"/>
      <c r="I74" s="275">
        <f>SUM(I69:I73)</f>
        <v>39255.784537034735</v>
      </c>
      <c r="J74" s="275">
        <f>SUM(J69:J73)</f>
        <v>0</v>
      </c>
      <c r="K74" s="277">
        <f>SUM(K69:K73)</f>
        <v>39255.784537034735</v>
      </c>
      <c r="L74" s="278">
        <f>ROUND(K74*$N$186/$K$176,0)</f>
        <v>959301</v>
      </c>
      <c r="M74" s="279">
        <f>SUM(M69:M73)</f>
        <v>-111.27754989006212</v>
      </c>
      <c r="N74" s="280">
        <f>SUM(N69:N73)</f>
        <v>906.7289062832342</v>
      </c>
    </row>
    <row r="75" spans="1:14" s="199" customFormat="1" ht="12.75" customHeight="1">
      <c r="A75" s="281" t="s">
        <v>128</v>
      </c>
      <c r="B75" s="246" t="s">
        <v>179</v>
      </c>
      <c r="C75" s="247">
        <v>1225</v>
      </c>
      <c r="D75" s="248">
        <v>1048.5231121254606</v>
      </c>
      <c r="E75" s="249">
        <f>IF(C75&gt;=0.9*D75,D75,C75+0.1*D75)</f>
        <v>1048.5231121254606</v>
      </c>
      <c r="F75" s="250"/>
      <c r="G75" s="251">
        <f>E75+F75</f>
        <v>1048.5231121254606</v>
      </c>
      <c r="H75" s="252">
        <v>2.702857142857143</v>
      </c>
      <c r="I75" s="250">
        <f>E75*H75</f>
        <v>2834.008183059102</v>
      </c>
      <c r="J75" s="253"/>
      <c r="K75" s="254">
        <f>I75+J75</f>
        <v>2834.008183059102</v>
      </c>
      <c r="L75" s="255"/>
      <c r="M75" s="256">
        <f>IF(D75&gt;C75,C75-D75,0)</f>
        <v>0</v>
      </c>
      <c r="N75" s="257">
        <f>IF(D75&lt;C75,C75-D75,0)</f>
        <v>176.47688787453944</v>
      </c>
    </row>
    <row r="76" spans="1:14" s="199" customFormat="1" ht="12.75" customHeight="1">
      <c r="A76" s="282" t="s">
        <v>128</v>
      </c>
      <c r="B76" s="246" t="s">
        <v>180</v>
      </c>
      <c r="C76" s="247">
        <v>0</v>
      </c>
      <c r="D76" s="248">
        <v>0</v>
      </c>
      <c r="E76" s="249">
        <f>IF(C76&gt;=0.9*D76,D76,C76+0.1*D76)</f>
        <v>0</v>
      </c>
      <c r="F76" s="250"/>
      <c r="G76" s="251">
        <f>E76+F76</f>
        <v>0</v>
      </c>
      <c r="H76" s="252"/>
      <c r="I76" s="250">
        <f>E76*H76</f>
        <v>0</v>
      </c>
      <c r="J76" s="253"/>
      <c r="K76" s="254">
        <f>I76+J76</f>
        <v>0</v>
      </c>
      <c r="L76" s="255"/>
      <c r="M76" s="256">
        <f>IF(D76&gt;C76,C76-D76,0)</f>
        <v>0</v>
      </c>
      <c r="N76" s="257">
        <f>IF(D76&lt;C76,C76-D76,0)</f>
        <v>0</v>
      </c>
    </row>
    <row r="77" spans="1:14" s="199" customFormat="1" ht="12.75" customHeight="1">
      <c r="A77" s="282" t="s">
        <v>128</v>
      </c>
      <c r="B77" s="246" t="s">
        <v>181</v>
      </c>
      <c r="C77" s="247">
        <v>376</v>
      </c>
      <c r="D77" s="248">
        <v>329.8359100719622</v>
      </c>
      <c r="E77" s="249">
        <f>IF(C77&gt;=0.9*D77,D77,C77+0.1*D77)</f>
        <v>329.8359100719622</v>
      </c>
      <c r="F77" s="250"/>
      <c r="G77" s="251">
        <f>E77+F77</f>
        <v>329.8359100719622</v>
      </c>
      <c r="H77" s="252">
        <v>2.7425531914893617</v>
      </c>
      <c r="I77" s="250">
        <f>E77*H77</f>
        <v>904.592527835658</v>
      </c>
      <c r="J77" s="253"/>
      <c r="K77" s="254">
        <f>I77+J77</f>
        <v>904.592527835658</v>
      </c>
      <c r="L77" s="255"/>
      <c r="M77" s="256">
        <f>IF(D77&gt;C77,C77-D77,0)</f>
        <v>0</v>
      </c>
      <c r="N77" s="257">
        <f>IF(D77&lt;C77,C77-D77,0)</f>
        <v>46.16408992803781</v>
      </c>
    </row>
    <row r="78" spans="1:14" ht="12.75" customHeight="1">
      <c r="A78" s="259" t="s">
        <v>128</v>
      </c>
      <c r="B78" s="260" t="s">
        <v>182</v>
      </c>
      <c r="C78" s="261">
        <v>171</v>
      </c>
      <c r="D78" s="262">
        <v>193.0816453148888</v>
      </c>
      <c r="E78" s="249">
        <f>IF(C78&gt;=0.9*D78,D78,C78+0.1*D78)</f>
        <v>190.30816453148887</v>
      </c>
      <c r="F78" s="263"/>
      <c r="G78" s="251">
        <f>E78+F78</f>
        <v>190.30816453148887</v>
      </c>
      <c r="H78" s="264">
        <v>2.783918128654971</v>
      </c>
      <c r="I78" s="250">
        <f>E78*H78</f>
        <v>529.8023492702648</v>
      </c>
      <c r="J78" s="265"/>
      <c r="K78" s="254">
        <f>I78+J78</f>
        <v>529.8023492702648</v>
      </c>
      <c r="L78" s="266"/>
      <c r="M78" s="256">
        <f>IF(D78&gt;C78,C78-D78,0)</f>
        <v>-22.08164531488879</v>
      </c>
      <c r="N78" s="257">
        <f>IF(D78&lt;C78,C78-D78,0)</f>
        <v>0</v>
      </c>
    </row>
    <row r="79" spans="1:14" s="199" customFormat="1" ht="12.75" customHeight="1" thickBot="1">
      <c r="A79" s="283" t="s">
        <v>128</v>
      </c>
      <c r="B79" s="268" t="s">
        <v>183</v>
      </c>
      <c r="C79" s="247">
        <v>1803</v>
      </c>
      <c r="D79" s="248">
        <v>1751.7885152408546</v>
      </c>
      <c r="E79" s="249">
        <f>IF(C79&lt;D79,C79,D79)</f>
        <v>1751.7885152408546</v>
      </c>
      <c r="F79" s="263"/>
      <c r="G79" s="251">
        <f>E79+F79</f>
        <v>1751.7885152408546</v>
      </c>
      <c r="H79" s="252">
        <v>2.7289517470881863</v>
      </c>
      <c r="I79" s="250">
        <f>E79*H79</f>
        <v>4780.54632919555</v>
      </c>
      <c r="J79" s="269"/>
      <c r="K79" s="254">
        <f>I79+J79</f>
        <v>4780.54632919555</v>
      </c>
      <c r="L79" s="270"/>
      <c r="M79" s="256">
        <f>IF(D79&gt;C79,C79-D79,0)</f>
        <v>0</v>
      </c>
      <c r="N79" s="257">
        <f>IF(D79&lt;C79,C79-D79,0)</f>
        <v>51.21148475914538</v>
      </c>
    </row>
    <row r="80" spans="1:14" s="199" customFormat="1" ht="12.75" customHeight="1" thickBot="1">
      <c r="A80" s="271" t="s">
        <v>128</v>
      </c>
      <c r="B80" s="272" t="s">
        <v>144</v>
      </c>
      <c r="C80" s="273">
        <f>SUM(C75:C79)</f>
        <v>3575</v>
      </c>
      <c r="D80" s="274">
        <f>SUM(D75:D79)</f>
        <v>3323.2291827531662</v>
      </c>
      <c r="E80" s="274">
        <f>SUM(E75:E79)</f>
        <v>3320.4557019697663</v>
      </c>
      <c r="F80" s="275">
        <f>SUM(F75:F79)</f>
        <v>0</v>
      </c>
      <c r="G80" s="276">
        <f>SUM(G75:G79)</f>
        <v>3320.4557019697663</v>
      </c>
      <c r="H80" s="275"/>
      <c r="I80" s="275">
        <f>SUM(I75:I79)</f>
        <v>9048.949389360576</v>
      </c>
      <c r="J80" s="275">
        <f>SUM(J75:J79)</f>
        <v>0</v>
      </c>
      <c r="K80" s="277">
        <f>SUM(K75:K79)</f>
        <v>9048.949389360576</v>
      </c>
      <c r="L80" s="278">
        <f>ROUND(K80*$N$186/$K$176,0)</f>
        <v>221131</v>
      </c>
      <c r="M80" s="279">
        <f>SUM(M75:M79)</f>
        <v>-22.08164531488879</v>
      </c>
      <c r="N80" s="280">
        <f>SUM(N75:N79)</f>
        <v>273.85246256172263</v>
      </c>
    </row>
    <row r="81" spans="1:14" s="199" customFormat="1" ht="12.75" customHeight="1">
      <c r="A81" s="281" t="s">
        <v>196</v>
      </c>
      <c r="B81" s="246" t="s">
        <v>179</v>
      </c>
      <c r="C81" s="247">
        <v>4752</v>
      </c>
      <c r="D81" s="248">
        <v>4391.0023504995415</v>
      </c>
      <c r="E81" s="249">
        <f>IF(C81&gt;=0.9*D81,D81,C81+0.1*D81)</f>
        <v>4391.0023504995415</v>
      </c>
      <c r="F81" s="250"/>
      <c r="G81" s="251">
        <f>E81+F81</f>
        <v>4391.0023504995415</v>
      </c>
      <c r="H81" s="252">
        <v>1.4689162457912457</v>
      </c>
      <c r="I81" s="250">
        <f>E81*H81</f>
        <v>6450.014687956322</v>
      </c>
      <c r="J81" s="253"/>
      <c r="K81" s="254">
        <f>I81+J81</f>
        <v>6450.014687956322</v>
      </c>
      <c r="L81" s="255"/>
      <c r="M81" s="256">
        <f>IF(D81&gt;C81,C81-D81,0)</f>
        <v>0</v>
      </c>
      <c r="N81" s="257">
        <f>IF(D81&lt;C81,C81-D81,0)</f>
        <v>360.99764950045846</v>
      </c>
    </row>
    <row r="82" spans="1:14" s="199" customFormat="1" ht="12.75" customHeight="1">
      <c r="A82" s="282" t="s">
        <v>196</v>
      </c>
      <c r="B82" s="246" t="s">
        <v>180</v>
      </c>
      <c r="C82" s="247">
        <v>310</v>
      </c>
      <c r="D82" s="248">
        <v>390.4407479533594</v>
      </c>
      <c r="E82" s="249">
        <f>IF(C82&gt;=0.9*D82,D82,C82+0.1*D82)</f>
        <v>349.044074795336</v>
      </c>
      <c r="F82" s="250"/>
      <c r="G82" s="251">
        <f>E82+F82</f>
        <v>349.044074795336</v>
      </c>
      <c r="H82" s="252">
        <v>1.027741935483871</v>
      </c>
      <c r="I82" s="250">
        <f>E82*H82</f>
        <v>358.7272329993356</v>
      </c>
      <c r="J82" s="253"/>
      <c r="K82" s="254">
        <f>I82+J82</f>
        <v>358.7272329993356</v>
      </c>
      <c r="L82" s="255"/>
      <c r="M82" s="256">
        <f>IF(D82&gt;C82,C82-D82,0)</f>
        <v>-80.44074795335939</v>
      </c>
      <c r="N82" s="257">
        <f>IF(D82&lt;C82,C82-D82,0)</f>
        <v>0</v>
      </c>
    </row>
    <row r="83" spans="1:14" s="199" customFormat="1" ht="12.75" customHeight="1">
      <c r="A83" s="282" t="s">
        <v>196</v>
      </c>
      <c r="B83" s="246" t="s">
        <v>181</v>
      </c>
      <c r="C83" s="247">
        <v>1544</v>
      </c>
      <c r="D83" s="248">
        <v>1329.5605454573792</v>
      </c>
      <c r="E83" s="249">
        <f>IF(C83&gt;=0.9*D83,D83,C83+0.1*D83)</f>
        <v>1329.5605454573792</v>
      </c>
      <c r="F83" s="250"/>
      <c r="G83" s="251">
        <f>E83+F83</f>
        <v>1329.5605454573792</v>
      </c>
      <c r="H83" s="252">
        <v>1.4128691709844559</v>
      </c>
      <c r="I83" s="250">
        <f>E83*H83</f>
        <v>1878.4951056340083</v>
      </c>
      <c r="J83" s="253"/>
      <c r="K83" s="254">
        <f>I83+J83</f>
        <v>1878.4951056340083</v>
      </c>
      <c r="L83" s="255"/>
      <c r="M83" s="256">
        <f>IF(D83&gt;C83,C83-D83,0)</f>
        <v>0</v>
      </c>
      <c r="N83" s="257">
        <f>IF(D83&lt;C83,C83-D83,0)</f>
        <v>214.43945454262075</v>
      </c>
    </row>
    <row r="84" spans="1:14" ht="12.75" customHeight="1">
      <c r="A84" s="259" t="s">
        <v>196</v>
      </c>
      <c r="B84" s="260" t="s">
        <v>182</v>
      </c>
      <c r="C84" s="261">
        <v>171</v>
      </c>
      <c r="D84" s="262">
        <v>181.14596759908164</v>
      </c>
      <c r="E84" s="249">
        <f>IF(C84&gt;=0.9*D84,D84,C84+0.1*D84)</f>
        <v>181.14596759908164</v>
      </c>
      <c r="F84" s="263"/>
      <c r="G84" s="251">
        <f>E84+F84</f>
        <v>181.14596759908164</v>
      </c>
      <c r="H84" s="264">
        <v>1.4567836257309943</v>
      </c>
      <c r="I84" s="250">
        <f>E84*H84</f>
        <v>263.8904794655394</v>
      </c>
      <c r="J84" s="265"/>
      <c r="K84" s="254">
        <f>I84+J84</f>
        <v>263.8904794655394</v>
      </c>
      <c r="L84" s="266"/>
      <c r="M84" s="256">
        <f>IF(D84&gt;C84,C84-D84,0)</f>
        <v>-10.145967599081644</v>
      </c>
      <c r="N84" s="257">
        <f>IF(D84&lt;C84,C84-D84,0)</f>
        <v>0</v>
      </c>
    </row>
    <row r="85" spans="1:14" s="199" customFormat="1" ht="12.75" customHeight="1" thickBot="1">
      <c r="A85" s="283" t="s">
        <v>196</v>
      </c>
      <c r="B85" s="268" t="s">
        <v>183</v>
      </c>
      <c r="C85" s="247">
        <v>8995</v>
      </c>
      <c r="D85" s="248">
        <v>8915.3766015242</v>
      </c>
      <c r="E85" s="249">
        <f>IF(C85&lt;D85,C85,D85)</f>
        <v>8915.3766015242</v>
      </c>
      <c r="F85" s="263"/>
      <c r="G85" s="251">
        <f>E85+F85</f>
        <v>8915.3766015242</v>
      </c>
      <c r="H85" s="252">
        <v>1.3795853251806558</v>
      </c>
      <c r="I85" s="250">
        <f>E85*H85</f>
        <v>12299.522727921772</v>
      </c>
      <c r="J85" s="269"/>
      <c r="K85" s="254">
        <f>I85+J85</f>
        <v>12299.522727921772</v>
      </c>
      <c r="L85" s="270"/>
      <c r="M85" s="256">
        <f>IF(D85&gt;C85,C85-D85,0)</f>
        <v>0</v>
      </c>
      <c r="N85" s="257">
        <f>IF(D85&lt;C85,C85-D85,0)</f>
        <v>79.62339847580006</v>
      </c>
    </row>
    <row r="86" spans="1:14" s="199" customFormat="1" ht="12.75" customHeight="1" thickBot="1">
      <c r="A86" s="271" t="s">
        <v>196</v>
      </c>
      <c r="B86" s="272" t="s">
        <v>144</v>
      </c>
      <c r="C86" s="273">
        <f>SUM(C81:C85)</f>
        <v>15772</v>
      </c>
      <c r="D86" s="274">
        <f>SUM(D81:D85)</f>
        <v>15207.526213033561</v>
      </c>
      <c r="E86" s="274">
        <f>SUM(E81:E85)</f>
        <v>15166.12953987554</v>
      </c>
      <c r="F86" s="275">
        <f>SUM(F81:F85)</f>
        <v>0</v>
      </c>
      <c r="G86" s="276">
        <f>SUM(G81:G85)</f>
        <v>15166.12953987554</v>
      </c>
      <c r="H86" s="275"/>
      <c r="I86" s="275">
        <f>SUM(I81:I85)</f>
        <v>21250.65023397698</v>
      </c>
      <c r="J86" s="275">
        <f>SUM(J81:J85)</f>
        <v>0</v>
      </c>
      <c r="K86" s="277">
        <f>SUM(K81:K85)</f>
        <v>21250.65023397698</v>
      </c>
      <c r="L86" s="278">
        <f>ROUND(K86*$N$186/$K$176,0)</f>
        <v>519306</v>
      </c>
      <c r="M86" s="279">
        <f>SUM(M81:M85)</f>
        <v>-90.58671555244104</v>
      </c>
      <c r="N86" s="280">
        <f>SUM(N81:N85)</f>
        <v>655.0605025188793</v>
      </c>
    </row>
    <row r="87" spans="1:14" s="199" customFormat="1" ht="12.75" customHeight="1">
      <c r="A87" s="285" t="s">
        <v>197</v>
      </c>
      <c r="B87" s="246" t="s">
        <v>179</v>
      </c>
      <c r="C87" s="247">
        <v>2583.5</v>
      </c>
      <c r="D87" s="248">
        <v>2608</v>
      </c>
      <c r="E87" s="249">
        <f>IF(C87&gt;=0.9*D87,D87,C87+0.1*D87)</f>
        <v>2608</v>
      </c>
      <c r="F87" s="250"/>
      <c r="G87" s="251">
        <f>E87+F87</f>
        <v>2608</v>
      </c>
      <c r="H87" s="252">
        <v>1.4829069092316625</v>
      </c>
      <c r="I87" s="250">
        <f>E87*H87</f>
        <v>3867.4212192761756</v>
      </c>
      <c r="J87" s="253"/>
      <c r="K87" s="254">
        <f>I87+J87</f>
        <v>3867.4212192761756</v>
      </c>
      <c r="L87" s="255"/>
      <c r="M87" s="256">
        <f>IF(D87&gt;C87,C87-D87,0)</f>
        <v>-24.5</v>
      </c>
      <c r="N87" s="257">
        <f>IF(D87&lt;C87,C87-D87,0)</f>
        <v>0</v>
      </c>
    </row>
    <row r="88" spans="1:14" s="199" customFormat="1" ht="12.75" customHeight="1">
      <c r="A88" s="245" t="s">
        <v>197</v>
      </c>
      <c r="B88" s="246" t="s">
        <v>180</v>
      </c>
      <c r="C88" s="247">
        <v>80</v>
      </c>
      <c r="D88" s="248">
        <v>80</v>
      </c>
      <c r="E88" s="249">
        <f>IF(C88&gt;=0.9*D88,D88,C88+0.1*D88)</f>
        <v>80</v>
      </c>
      <c r="F88" s="250"/>
      <c r="G88" s="251">
        <f>E88+F88</f>
        <v>80</v>
      </c>
      <c r="H88" s="252">
        <v>1.2</v>
      </c>
      <c r="I88" s="250">
        <f>E88*H88</f>
        <v>96</v>
      </c>
      <c r="J88" s="253"/>
      <c r="K88" s="254">
        <f>I88+J88</f>
        <v>96</v>
      </c>
      <c r="L88" s="255"/>
      <c r="M88" s="256">
        <f>IF(D88&gt;C88,C88-D88,0)</f>
        <v>0</v>
      </c>
      <c r="N88" s="257">
        <f>IF(D88&lt;C88,C88-D88,0)</f>
        <v>0</v>
      </c>
    </row>
    <row r="89" spans="1:14" s="199" customFormat="1" ht="12.75" customHeight="1">
      <c r="A89" s="245" t="s">
        <v>197</v>
      </c>
      <c r="B89" s="246" t="s">
        <v>181</v>
      </c>
      <c r="C89" s="247">
        <v>789.5</v>
      </c>
      <c r="D89" s="248">
        <v>818</v>
      </c>
      <c r="E89" s="249">
        <f>IF(C89&gt;=0.9*D89,D89,C89+0.1*D89)</f>
        <v>818</v>
      </c>
      <c r="F89" s="250"/>
      <c r="G89" s="251">
        <f>E89+F89</f>
        <v>818</v>
      </c>
      <c r="H89" s="252">
        <v>1.3025079164027864</v>
      </c>
      <c r="I89" s="250">
        <f>E89*H89</f>
        <v>1065.4514756174792</v>
      </c>
      <c r="J89" s="253"/>
      <c r="K89" s="254">
        <f>I89+J89</f>
        <v>1065.4514756174792</v>
      </c>
      <c r="L89" s="255"/>
      <c r="M89" s="256">
        <f>IF(D89&gt;C89,C89-D89,0)</f>
        <v>-28.5</v>
      </c>
      <c r="N89" s="257">
        <f>IF(D89&lt;C89,C89-D89,0)</f>
        <v>0</v>
      </c>
    </row>
    <row r="90" spans="1:14" ht="12.75" customHeight="1">
      <c r="A90" s="259" t="s">
        <v>197</v>
      </c>
      <c r="B90" s="260" t="s">
        <v>182</v>
      </c>
      <c r="C90" s="261">
        <v>63.5</v>
      </c>
      <c r="D90" s="262">
        <v>106</v>
      </c>
      <c r="E90" s="249">
        <f>IF(C90&gt;=0.9*D90,D90,C90+0.1*D90)</f>
        <v>74.1</v>
      </c>
      <c r="F90" s="263"/>
      <c r="G90" s="251">
        <f>E90+F90</f>
        <v>74.1</v>
      </c>
      <c r="H90" s="264">
        <v>1.5988976377952757</v>
      </c>
      <c r="I90" s="250">
        <f>E90*H90</f>
        <v>118.47831496062992</v>
      </c>
      <c r="J90" s="265"/>
      <c r="K90" s="254">
        <f>I90+J90</f>
        <v>118.47831496062992</v>
      </c>
      <c r="L90" s="266"/>
      <c r="M90" s="256">
        <f>IF(D90&gt;C90,C90-D90,0)</f>
        <v>-42.5</v>
      </c>
      <c r="N90" s="257">
        <f>IF(D90&lt;C90,C90-D90,0)</f>
        <v>0</v>
      </c>
    </row>
    <row r="91" spans="1:14" s="199" customFormat="1" ht="12.75" customHeight="1" thickBot="1">
      <c r="A91" s="267" t="s">
        <v>197</v>
      </c>
      <c r="B91" s="268" t="s">
        <v>183</v>
      </c>
      <c r="C91" s="247">
        <v>4999.5</v>
      </c>
      <c r="D91" s="248">
        <v>5273</v>
      </c>
      <c r="E91" s="249">
        <f>IF(C91&lt;D91,C91,D91)</f>
        <v>4999.5</v>
      </c>
      <c r="F91" s="263"/>
      <c r="G91" s="251">
        <f>E91+F91</f>
        <v>4999.5</v>
      </c>
      <c r="H91" s="252">
        <v>1.4192239223922392</v>
      </c>
      <c r="I91" s="250">
        <f>E91*H91</f>
        <v>7095.41</v>
      </c>
      <c r="J91" s="269"/>
      <c r="K91" s="254">
        <f>I91+J91</f>
        <v>7095.41</v>
      </c>
      <c r="L91" s="270"/>
      <c r="M91" s="256">
        <f>IF(D91&gt;C91,C91-D91,0)</f>
        <v>-273.5</v>
      </c>
      <c r="N91" s="257">
        <f>IF(D91&lt;C91,C91-D91,0)</f>
        <v>0</v>
      </c>
    </row>
    <row r="92" spans="1:14" s="199" customFormat="1" ht="12.75" customHeight="1" thickBot="1">
      <c r="A92" s="271" t="s">
        <v>197</v>
      </c>
      <c r="B92" s="272" t="s">
        <v>144</v>
      </c>
      <c r="C92" s="273">
        <f>SUM(C87:C91)</f>
        <v>8516</v>
      </c>
      <c r="D92" s="274">
        <f>SUM(D87:D91)</f>
        <v>8885</v>
      </c>
      <c r="E92" s="274">
        <f>SUM(E87:E91)</f>
        <v>8579.6</v>
      </c>
      <c r="F92" s="275">
        <f>SUM(F87:F91)</f>
        <v>0</v>
      </c>
      <c r="G92" s="276">
        <f>SUM(G87:G91)</f>
        <v>8579.6</v>
      </c>
      <c r="H92" s="275"/>
      <c r="I92" s="275">
        <f>SUM(I87:I91)</f>
        <v>12242.761009854285</v>
      </c>
      <c r="J92" s="275">
        <f>SUM(J87:J91)</f>
        <v>0</v>
      </c>
      <c r="K92" s="277">
        <f>SUM(K87:K91)</f>
        <v>12242.761009854285</v>
      </c>
      <c r="L92" s="278">
        <f>ROUND(K92*$N$186/$K$176,0)</f>
        <v>299179</v>
      </c>
      <c r="M92" s="279">
        <f>SUM(M87:M91)</f>
        <v>-369</v>
      </c>
      <c r="N92" s="280">
        <f>SUM(N87:N91)</f>
        <v>0</v>
      </c>
    </row>
    <row r="93" spans="1:14" s="199" customFormat="1" ht="12.75" customHeight="1">
      <c r="A93" s="281" t="s">
        <v>198</v>
      </c>
      <c r="B93" s="246" t="s">
        <v>179</v>
      </c>
      <c r="C93" s="247">
        <v>3529</v>
      </c>
      <c r="D93" s="248">
        <v>3225.0199172258494</v>
      </c>
      <c r="E93" s="249">
        <f>IF(C93&gt;=0.9*D93,D93,C93+0.1*D93)</f>
        <v>3225.0199172258494</v>
      </c>
      <c r="F93" s="250"/>
      <c r="G93" s="251">
        <f>E93+F93</f>
        <v>3225.0199172258494</v>
      </c>
      <c r="H93" s="252">
        <v>1.6837149334088977</v>
      </c>
      <c r="I93" s="250">
        <f>E93*H93</f>
        <v>5430.01419517429</v>
      </c>
      <c r="J93" s="253"/>
      <c r="K93" s="254">
        <f>I93+J93</f>
        <v>5430.01419517429</v>
      </c>
      <c r="L93" s="255"/>
      <c r="M93" s="256">
        <f>IF(D93&gt;C93,C93-D93,0)</f>
        <v>0</v>
      </c>
      <c r="N93" s="257">
        <f>IF(D93&lt;C93,C93-D93,0)</f>
        <v>303.98008277415056</v>
      </c>
    </row>
    <row r="94" spans="1:14" s="199" customFormat="1" ht="12.75" customHeight="1">
      <c r="A94" s="282" t="s">
        <v>198</v>
      </c>
      <c r="B94" s="246" t="s">
        <v>180</v>
      </c>
      <c r="C94" s="247">
        <v>0</v>
      </c>
      <c r="D94" s="248">
        <v>0</v>
      </c>
      <c r="E94" s="249">
        <f>IF(C94&gt;=0.9*D94,D94,C94+0.1*D94)</f>
        <v>0</v>
      </c>
      <c r="F94" s="250"/>
      <c r="G94" s="251">
        <f>E94+F94</f>
        <v>0</v>
      </c>
      <c r="H94" s="252"/>
      <c r="I94" s="250">
        <f>E94*H94</f>
        <v>0</v>
      </c>
      <c r="J94" s="253"/>
      <c r="K94" s="254">
        <f>I94+J94</f>
        <v>0</v>
      </c>
      <c r="L94" s="255"/>
      <c r="M94" s="256">
        <f>IF(D94&gt;C94,C94-D94,0)</f>
        <v>0</v>
      </c>
      <c r="N94" s="257">
        <f>IF(D94&lt;C94,C94-D94,0)</f>
        <v>0</v>
      </c>
    </row>
    <row r="95" spans="1:14" s="199" customFormat="1" ht="12.75" customHeight="1">
      <c r="A95" s="282" t="s">
        <v>198</v>
      </c>
      <c r="B95" s="246" t="s">
        <v>181</v>
      </c>
      <c r="C95" s="247">
        <v>1027</v>
      </c>
      <c r="D95" s="248">
        <v>1000.6016129745093</v>
      </c>
      <c r="E95" s="249">
        <f>IF(C95&gt;=0.9*D95,D95,C95+0.1*D95)</f>
        <v>1000.6016129745093</v>
      </c>
      <c r="F95" s="250"/>
      <c r="G95" s="251">
        <f>E95+F95</f>
        <v>1000.6016129745093</v>
      </c>
      <c r="H95" s="252">
        <v>1.6700194741966894</v>
      </c>
      <c r="I95" s="250">
        <f>E95*H95</f>
        <v>1671.0241795800493</v>
      </c>
      <c r="J95" s="253"/>
      <c r="K95" s="254">
        <f>I95+J95</f>
        <v>1671.0241795800493</v>
      </c>
      <c r="L95" s="255"/>
      <c r="M95" s="256">
        <f>IF(D95&gt;C95,C95-D95,0)</f>
        <v>0</v>
      </c>
      <c r="N95" s="257">
        <f>IF(D95&lt;C95,C95-D95,0)</f>
        <v>26.398387025490706</v>
      </c>
    </row>
    <row r="96" spans="1:14" ht="12.75" customHeight="1">
      <c r="A96" s="259" t="s">
        <v>198</v>
      </c>
      <c r="B96" s="260" t="s">
        <v>182</v>
      </c>
      <c r="C96" s="261">
        <v>116</v>
      </c>
      <c r="D96" s="262">
        <v>134.5334835283161</v>
      </c>
      <c r="E96" s="249">
        <f>IF(C96&gt;=0.9*D96,D96,C96+0.1*D96)</f>
        <v>129.4533483528316</v>
      </c>
      <c r="F96" s="263"/>
      <c r="G96" s="251">
        <f>E96+F96</f>
        <v>129.4533483528316</v>
      </c>
      <c r="H96" s="264">
        <v>1.9331896551724137</v>
      </c>
      <c r="I96" s="250">
        <f>E96*H96</f>
        <v>250.25787386312487</v>
      </c>
      <c r="J96" s="265"/>
      <c r="K96" s="254">
        <f>I96+J96</f>
        <v>250.25787386312487</v>
      </c>
      <c r="L96" s="266"/>
      <c r="M96" s="256">
        <f>IF(D96&gt;C96,C96-D96,0)</f>
        <v>-18.53348352831611</v>
      </c>
      <c r="N96" s="257">
        <f>IF(D96&lt;C96,C96-D96,0)</f>
        <v>0</v>
      </c>
    </row>
    <row r="97" spans="1:14" s="199" customFormat="1" ht="12.75" customHeight="1" thickBot="1">
      <c r="A97" s="283" t="s">
        <v>198</v>
      </c>
      <c r="B97" s="268" t="s">
        <v>183</v>
      </c>
      <c r="C97" s="247">
        <v>5635</v>
      </c>
      <c r="D97" s="248">
        <v>5117.847372675192</v>
      </c>
      <c r="E97" s="249">
        <f>IF(C97&lt;D97,C97,D97)</f>
        <v>5117.847372675192</v>
      </c>
      <c r="F97" s="263"/>
      <c r="G97" s="251">
        <f>E97+F97</f>
        <v>5117.847372675192</v>
      </c>
      <c r="H97" s="252">
        <v>1.6497444543034607</v>
      </c>
      <c r="I97" s="250">
        <f>E97*H97</f>
        <v>8443.140321042434</v>
      </c>
      <c r="J97" s="269"/>
      <c r="K97" s="254">
        <f>I97+J97</f>
        <v>8443.140321042434</v>
      </c>
      <c r="L97" s="270"/>
      <c r="M97" s="256">
        <f>IF(D97&gt;C97,C97-D97,0)</f>
        <v>0</v>
      </c>
      <c r="N97" s="257">
        <f>IF(D97&lt;C97,C97-D97,0)</f>
        <v>517.1526273248082</v>
      </c>
    </row>
    <row r="98" spans="1:14" s="199" customFormat="1" ht="12.75" customHeight="1" thickBot="1">
      <c r="A98" s="271" t="s">
        <v>198</v>
      </c>
      <c r="B98" s="272" t="s">
        <v>144</v>
      </c>
      <c r="C98" s="273">
        <f>SUM(C93:C97)</f>
        <v>10307</v>
      </c>
      <c r="D98" s="274">
        <f>SUM(D93:D97)</f>
        <v>9478.002386403867</v>
      </c>
      <c r="E98" s="274">
        <f>SUM(E93:E97)</f>
        <v>9472.922251228381</v>
      </c>
      <c r="F98" s="275">
        <f>SUM(F93:F97)</f>
        <v>0</v>
      </c>
      <c r="G98" s="276">
        <f>SUM(G93:G97)</f>
        <v>9472.922251228381</v>
      </c>
      <c r="H98" s="275"/>
      <c r="I98" s="275">
        <f>SUM(I93:I97)</f>
        <v>15794.436569659898</v>
      </c>
      <c r="J98" s="275">
        <f>SUM(J93:J97)</f>
        <v>0</v>
      </c>
      <c r="K98" s="277">
        <f>SUM(K93:K97)</f>
        <v>15794.436569659898</v>
      </c>
      <c r="L98" s="278">
        <f>ROUND(K98*$N$186/$K$176,0)</f>
        <v>385972</v>
      </c>
      <c r="M98" s="279">
        <f>SUM(M93:M97)</f>
        <v>-18.53348352831611</v>
      </c>
      <c r="N98" s="280">
        <f>SUM(N93:N97)</f>
        <v>847.5310971244495</v>
      </c>
    </row>
    <row r="99" spans="1:14" s="199" customFormat="1" ht="12.75" customHeight="1">
      <c r="A99" s="281" t="s">
        <v>199</v>
      </c>
      <c r="B99" s="246" t="s">
        <v>179</v>
      </c>
      <c r="C99" s="247">
        <v>5898</v>
      </c>
      <c r="D99" s="248">
        <v>5765.437549268934</v>
      </c>
      <c r="E99" s="249">
        <f>IF(C99&gt;=0.9*D99,D99,C99+0.1*D99)</f>
        <v>5765.437549268934</v>
      </c>
      <c r="F99" s="250"/>
      <c r="G99" s="251">
        <f>E99+F99</f>
        <v>5765.437549268934</v>
      </c>
      <c r="H99" s="252">
        <v>1.710576432689047</v>
      </c>
      <c r="I99" s="250">
        <f>E99*H99</f>
        <v>9862.221595919935</v>
      </c>
      <c r="J99" s="253"/>
      <c r="K99" s="254">
        <f>I99+J99</f>
        <v>9862.221595919935</v>
      </c>
      <c r="L99" s="255"/>
      <c r="M99" s="256">
        <f>IF(D99&gt;C99,C99-D99,0)</f>
        <v>0</v>
      </c>
      <c r="N99" s="257">
        <f>IF(D99&lt;C99,C99-D99,0)</f>
        <v>132.56245073106584</v>
      </c>
    </row>
    <row r="100" spans="1:14" s="199" customFormat="1" ht="12.75" customHeight="1">
      <c r="A100" s="282" t="s">
        <v>199</v>
      </c>
      <c r="B100" s="246" t="s">
        <v>180</v>
      </c>
      <c r="C100" s="247">
        <v>0</v>
      </c>
      <c r="D100" s="248">
        <v>28.40308482553168</v>
      </c>
      <c r="E100" s="249">
        <f>IF(C100&gt;=0.9*D100,D100,C100+0.1*D100)</f>
        <v>2.840308482553168</v>
      </c>
      <c r="F100" s="250"/>
      <c r="G100" s="251">
        <f>E100+F100</f>
        <v>2.840308482553168</v>
      </c>
      <c r="H100" s="252"/>
      <c r="I100" s="250">
        <f>E100*H100</f>
        <v>0</v>
      </c>
      <c r="J100" s="253"/>
      <c r="K100" s="254">
        <f>I100+J100</f>
        <v>0</v>
      </c>
      <c r="L100" s="255"/>
      <c r="M100" s="256">
        <f>IF(D100&gt;C100,C100-D100,0)</f>
        <v>-28.40308482553168</v>
      </c>
      <c r="N100" s="257">
        <f>IF(D100&lt;C100,C100-D100,0)</f>
        <v>0</v>
      </c>
    </row>
    <row r="101" spans="1:14" s="199" customFormat="1" ht="12.75" customHeight="1">
      <c r="A101" s="282" t="s">
        <v>199</v>
      </c>
      <c r="B101" s="246" t="s">
        <v>181</v>
      </c>
      <c r="C101" s="247">
        <v>3367</v>
      </c>
      <c r="D101" s="248">
        <v>2817.7958157155917</v>
      </c>
      <c r="E101" s="249">
        <f>IF(C101&gt;=0.9*D101,D101,C101+0.1*D101)</f>
        <v>2817.7958157155917</v>
      </c>
      <c r="F101" s="250"/>
      <c r="G101" s="251">
        <f>E101+F101</f>
        <v>2817.7958157155917</v>
      </c>
      <c r="H101" s="252">
        <v>1.647122067122067</v>
      </c>
      <c r="I101" s="250">
        <f>E101*H101</f>
        <v>4641.253668709376</v>
      </c>
      <c r="J101" s="253"/>
      <c r="K101" s="254">
        <f>I101+J101</f>
        <v>4641.253668709376</v>
      </c>
      <c r="L101" s="255"/>
      <c r="M101" s="256">
        <f>IF(D101&gt;C101,C101-D101,0)</f>
        <v>0</v>
      </c>
      <c r="N101" s="257">
        <f>IF(D101&lt;C101,C101-D101,0)</f>
        <v>549.2041842844083</v>
      </c>
    </row>
    <row r="102" spans="1:14" ht="12.75" customHeight="1">
      <c r="A102" s="259" t="s">
        <v>199</v>
      </c>
      <c r="B102" s="260" t="s">
        <v>182</v>
      </c>
      <c r="C102" s="261">
        <v>443.5</v>
      </c>
      <c r="D102" s="262">
        <v>443.3005942601827</v>
      </c>
      <c r="E102" s="249">
        <f>IF(C102&gt;=0.9*D102,D102,C102+0.1*D102)</f>
        <v>443.3005942601827</v>
      </c>
      <c r="F102" s="263"/>
      <c r="G102" s="251">
        <f>E102+F102</f>
        <v>443.3005942601827</v>
      </c>
      <c r="H102" s="264">
        <v>1.7994137542277338</v>
      </c>
      <c r="I102" s="250">
        <f>E102*H102</f>
        <v>797.6811865691008</v>
      </c>
      <c r="J102" s="265"/>
      <c r="K102" s="254">
        <f>I102+J102</f>
        <v>797.6811865691008</v>
      </c>
      <c r="L102" s="266"/>
      <c r="M102" s="256">
        <f>IF(D102&gt;C102,C102-D102,0)</f>
        <v>0</v>
      </c>
      <c r="N102" s="257">
        <f>IF(D102&lt;C102,C102-D102,0)</f>
        <v>0.19940573981727994</v>
      </c>
    </row>
    <row r="103" spans="1:14" s="199" customFormat="1" ht="12.75" customHeight="1" thickBot="1">
      <c r="A103" s="283" t="s">
        <v>199</v>
      </c>
      <c r="B103" s="268" t="s">
        <v>183</v>
      </c>
      <c r="C103" s="247">
        <v>12061</v>
      </c>
      <c r="D103" s="248">
        <v>11343.878835450652</v>
      </c>
      <c r="E103" s="249">
        <f>IF(C103&lt;D103,C103,D103)</f>
        <v>11343.878835450652</v>
      </c>
      <c r="F103" s="263"/>
      <c r="G103" s="251">
        <f>E103+F103</f>
        <v>11343.878835450652</v>
      </c>
      <c r="H103" s="252">
        <v>1.686033479810961</v>
      </c>
      <c r="I103" s="250">
        <f>E103*H103</f>
        <v>19126.159507488777</v>
      </c>
      <c r="J103" s="269"/>
      <c r="K103" s="254">
        <f>I103+J103</f>
        <v>19126.159507488777</v>
      </c>
      <c r="L103" s="270"/>
      <c r="M103" s="256">
        <f>IF(D103&gt;C103,C103-D103,0)</f>
        <v>0</v>
      </c>
      <c r="N103" s="257">
        <f>IF(D103&lt;C103,C103-D103,0)</f>
        <v>717.1211645493477</v>
      </c>
    </row>
    <row r="104" spans="1:14" s="199" customFormat="1" ht="12.75" customHeight="1" thickBot="1">
      <c r="A104" s="271" t="s">
        <v>199</v>
      </c>
      <c r="B104" s="272" t="s">
        <v>144</v>
      </c>
      <c r="C104" s="273">
        <f>SUM(C99:C103)</f>
        <v>21769.5</v>
      </c>
      <c r="D104" s="274">
        <f>SUM(D99:D103)</f>
        <v>20398.815879520895</v>
      </c>
      <c r="E104" s="274">
        <f>SUM(E99:E103)</f>
        <v>20373.253103177914</v>
      </c>
      <c r="F104" s="275">
        <f>SUM(F99:F103)</f>
        <v>0</v>
      </c>
      <c r="G104" s="276">
        <f>SUM(G99:G103)</f>
        <v>20373.253103177914</v>
      </c>
      <c r="H104" s="275"/>
      <c r="I104" s="275">
        <f>SUM(I99:I103)</f>
        <v>34427.31595868719</v>
      </c>
      <c r="J104" s="275">
        <f>SUM(J99:J103)</f>
        <v>0</v>
      </c>
      <c r="K104" s="277">
        <f>SUM(K99:K103)</f>
        <v>34427.31595868719</v>
      </c>
      <c r="L104" s="278">
        <f>ROUND(K104*$N$186/$K$176,0)</f>
        <v>841307</v>
      </c>
      <c r="M104" s="279">
        <f>SUM(M99:M103)</f>
        <v>-28.40308482553168</v>
      </c>
      <c r="N104" s="280">
        <f>SUM(N99:N103)</f>
        <v>1399.0872053046392</v>
      </c>
    </row>
    <row r="105" spans="1:14" s="199" customFormat="1" ht="12.75" customHeight="1">
      <c r="A105" s="285" t="s">
        <v>200</v>
      </c>
      <c r="B105" s="246" t="s">
        <v>179</v>
      </c>
      <c r="C105" s="247">
        <v>5876.5</v>
      </c>
      <c r="D105" s="248">
        <v>6312.535382035456</v>
      </c>
      <c r="E105" s="249">
        <f>IF(C105&gt;=0.9*D105,D105,C105+0.1*D105)</f>
        <v>6312.535382035456</v>
      </c>
      <c r="F105" s="250"/>
      <c r="G105" s="251">
        <f>E105+F105</f>
        <v>6312.535382035456</v>
      </c>
      <c r="H105" s="252">
        <v>1.506777843954735</v>
      </c>
      <c r="I105" s="250">
        <f>E105*H105</f>
        <v>9511.588452831364</v>
      </c>
      <c r="J105" s="253"/>
      <c r="K105" s="254">
        <f>I105+J105</f>
        <v>9511.588452831364</v>
      </c>
      <c r="L105" s="255"/>
      <c r="M105" s="256">
        <f>IF(D105&gt;C105,C105-D105,0)</f>
        <v>-436.03538203545577</v>
      </c>
      <c r="N105" s="257">
        <f>IF(D105&lt;C105,C105-D105,0)</f>
        <v>0</v>
      </c>
    </row>
    <row r="106" spans="1:14" s="199" customFormat="1" ht="12.75" customHeight="1">
      <c r="A106" s="245" t="s">
        <v>200</v>
      </c>
      <c r="B106" s="246" t="s">
        <v>180</v>
      </c>
      <c r="C106" s="247">
        <v>0</v>
      </c>
      <c r="D106" s="248">
        <v>0</v>
      </c>
      <c r="E106" s="249">
        <f>IF(C106&gt;=0.9*D106,D106,C106+0.1*D106)</f>
        <v>0</v>
      </c>
      <c r="F106" s="250"/>
      <c r="G106" s="251">
        <f>E106+F106</f>
        <v>0</v>
      </c>
      <c r="H106" s="252"/>
      <c r="I106" s="250">
        <f>E106*H106</f>
        <v>0</v>
      </c>
      <c r="J106" s="253"/>
      <c r="K106" s="254">
        <f>I106+J106</f>
        <v>0</v>
      </c>
      <c r="L106" s="255"/>
      <c r="M106" s="256">
        <f>IF(D106&gt;C106,C106-D106,0)</f>
        <v>0</v>
      </c>
      <c r="N106" s="257">
        <f>IF(D106&lt;C106,C106-D106,0)</f>
        <v>0</v>
      </c>
    </row>
    <row r="107" spans="1:14" s="199" customFormat="1" ht="12.75" customHeight="1">
      <c r="A107" s="245" t="s">
        <v>200</v>
      </c>
      <c r="B107" s="246" t="s">
        <v>181</v>
      </c>
      <c r="C107" s="247">
        <v>2921</v>
      </c>
      <c r="D107" s="248">
        <v>2452.3484190259605</v>
      </c>
      <c r="E107" s="249">
        <f>IF(C107&gt;=0.9*D107,D107,C107+0.1*D107)</f>
        <v>2452.3484190259605</v>
      </c>
      <c r="F107" s="250"/>
      <c r="G107" s="251">
        <f>E107+F107</f>
        <v>2452.3484190259605</v>
      </c>
      <c r="H107" s="252">
        <v>1.4448134200616227</v>
      </c>
      <c r="I107" s="250">
        <f>E107*H107</f>
        <v>3543.1859064756113</v>
      </c>
      <c r="J107" s="253"/>
      <c r="K107" s="254">
        <f>I107+J107</f>
        <v>3543.1859064756113</v>
      </c>
      <c r="L107" s="255"/>
      <c r="M107" s="256">
        <f>IF(D107&gt;C107,C107-D107,0)</f>
        <v>0</v>
      </c>
      <c r="N107" s="257">
        <f>IF(D107&lt;C107,C107-D107,0)</f>
        <v>468.65158097403946</v>
      </c>
    </row>
    <row r="108" spans="1:14" ht="12.75" customHeight="1">
      <c r="A108" s="259" t="s">
        <v>200</v>
      </c>
      <c r="B108" s="260" t="s">
        <v>182</v>
      </c>
      <c r="C108" s="261">
        <v>301</v>
      </c>
      <c r="D108" s="262">
        <v>335.02416808285506</v>
      </c>
      <c r="E108" s="249">
        <f>IF(C108&gt;=0.9*D108,D108,C108+0.1*D108)</f>
        <v>334.5024168082855</v>
      </c>
      <c r="F108" s="263"/>
      <c r="G108" s="251">
        <f>E108+F108</f>
        <v>334.5024168082855</v>
      </c>
      <c r="H108" s="264">
        <v>1.625282392026578</v>
      </c>
      <c r="I108" s="250">
        <f>E108*H108</f>
        <v>543.6608881288416</v>
      </c>
      <c r="J108" s="265"/>
      <c r="K108" s="254">
        <f>I108+J108</f>
        <v>543.6608881288416</v>
      </c>
      <c r="L108" s="266"/>
      <c r="M108" s="256">
        <f>IF(D108&gt;C108,C108-D108,0)</f>
        <v>-34.024168082855056</v>
      </c>
      <c r="N108" s="257">
        <f>IF(D108&lt;C108,C108-D108,0)</f>
        <v>0</v>
      </c>
    </row>
    <row r="109" spans="1:14" s="199" customFormat="1" ht="12.75" customHeight="1" thickBot="1">
      <c r="A109" s="267" t="s">
        <v>200</v>
      </c>
      <c r="B109" s="268" t="s">
        <v>183</v>
      </c>
      <c r="C109" s="247">
        <v>11582.5</v>
      </c>
      <c r="D109" s="248">
        <v>11407.702159169776</v>
      </c>
      <c r="E109" s="249">
        <f>IF(C109&lt;D109,C109,D109)</f>
        <v>11407.702159169776</v>
      </c>
      <c r="F109" s="263"/>
      <c r="G109" s="251">
        <f>E109+F109</f>
        <v>11407.702159169776</v>
      </c>
      <c r="H109" s="252">
        <v>1.507933520397151</v>
      </c>
      <c r="I109" s="250">
        <f>E109*H109</f>
        <v>17202.05647651906</v>
      </c>
      <c r="J109" s="269"/>
      <c r="K109" s="254">
        <f>I109+J109</f>
        <v>17202.05647651906</v>
      </c>
      <c r="L109" s="270"/>
      <c r="M109" s="256">
        <f>IF(D109&gt;C109,C109-D109,0)</f>
        <v>0</v>
      </c>
      <c r="N109" s="257">
        <f>IF(D109&lt;C109,C109-D109,0)</f>
        <v>174.79784083022423</v>
      </c>
    </row>
    <row r="110" spans="1:14" s="199" customFormat="1" ht="12.75" customHeight="1" thickBot="1">
      <c r="A110" s="271" t="s">
        <v>200</v>
      </c>
      <c r="B110" s="272" t="s">
        <v>144</v>
      </c>
      <c r="C110" s="273">
        <f>SUM(C105:C109)</f>
        <v>20681</v>
      </c>
      <c r="D110" s="274">
        <f>SUM(D105:D109)</f>
        <v>20507.610128314045</v>
      </c>
      <c r="E110" s="274">
        <f>SUM(E105:E109)</f>
        <v>20507.08837703948</v>
      </c>
      <c r="F110" s="275">
        <f>SUM(F105:F109)</f>
        <v>0</v>
      </c>
      <c r="G110" s="276">
        <f>SUM(G105:G109)</f>
        <v>20507.08837703948</v>
      </c>
      <c r="H110" s="275"/>
      <c r="I110" s="275">
        <f>SUM(I105:I109)</f>
        <v>30800.491723954878</v>
      </c>
      <c r="J110" s="275">
        <f>SUM(J105:J109)</f>
        <v>0</v>
      </c>
      <c r="K110" s="277">
        <f>SUM(K105:K109)</f>
        <v>30800.491723954878</v>
      </c>
      <c r="L110" s="278">
        <f>ROUND(K110*$N$186/$K$176,0)</f>
        <v>752677</v>
      </c>
      <c r="M110" s="279">
        <f>SUM(M105:M109)</f>
        <v>-470.0595501183108</v>
      </c>
      <c r="N110" s="280">
        <f>SUM(N105:N109)</f>
        <v>643.4494218042637</v>
      </c>
    </row>
    <row r="111" spans="1:14" s="199" customFormat="1" ht="12.75" customHeight="1">
      <c r="A111" s="281" t="s">
        <v>201</v>
      </c>
      <c r="B111" s="246" t="s">
        <v>179</v>
      </c>
      <c r="C111" s="247">
        <v>3378.5</v>
      </c>
      <c r="D111" s="248">
        <v>3364.799463917723</v>
      </c>
      <c r="E111" s="249">
        <f>IF(C111&gt;=0.9*D111,D111,C111+0.1*D111)</f>
        <v>3364.799463917723</v>
      </c>
      <c r="F111" s="250"/>
      <c r="G111" s="251">
        <f>E111+F111</f>
        <v>3364.799463917723</v>
      </c>
      <c r="H111" s="252">
        <v>1.6324670711854372</v>
      </c>
      <c r="I111" s="250">
        <f>E111*H111</f>
        <v>5492.924325988095</v>
      </c>
      <c r="J111" s="253"/>
      <c r="K111" s="254">
        <f>I111+J111</f>
        <v>5492.924325988095</v>
      </c>
      <c r="L111" s="255"/>
      <c r="M111" s="256">
        <f>IF(D111&gt;C111,C111-D111,0)</f>
        <v>0</v>
      </c>
      <c r="N111" s="257">
        <f>IF(D111&lt;C111,C111-D111,0)</f>
        <v>13.700536082276813</v>
      </c>
    </row>
    <row r="112" spans="1:14" s="199" customFormat="1" ht="12.75" customHeight="1">
      <c r="A112" s="245" t="s">
        <v>201</v>
      </c>
      <c r="B112" s="246" t="s">
        <v>180</v>
      </c>
      <c r="C112" s="247">
        <v>0</v>
      </c>
      <c r="D112" s="248">
        <v>0</v>
      </c>
      <c r="E112" s="249">
        <f>IF(C112&gt;=0.9*D112,D112,C112+0.1*D112)</f>
        <v>0</v>
      </c>
      <c r="F112" s="250"/>
      <c r="G112" s="251">
        <f>E112+F112</f>
        <v>0</v>
      </c>
      <c r="H112" s="252"/>
      <c r="I112" s="250">
        <f>E112*H112</f>
        <v>0</v>
      </c>
      <c r="J112" s="253"/>
      <c r="K112" s="254">
        <f>I112+J112</f>
        <v>0</v>
      </c>
      <c r="L112" s="255"/>
      <c r="M112" s="256">
        <f>IF(D112&gt;C112,C112-D112,0)</f>
        <v>0</v>
      </c>
      <c r="N112" s="257">
        <f>IF(D112&lt;C112,C112-D112,0)</f>
        <v>0</v>
      </c>
    </row>
    <row r="113" spans="1:14" s="199" customFormat="1" ht="12.75" customHeight="1">
      <c r="A113" s="245" t="s">
        <v>201</v>
      </c>
      <c r="B113" s="246" t="s">
        <v>181</v>
      </c>
      <c r="C113" s="247">
        <v>1784.5</v>
      </c>
      <c r="D113" s="248">
        <v>1659.1123630148684</v>
      </c>
      <c r="E113" s="249">
        <f>IF(C113&gt;=0.9*D113,D113,C113+0.1*D113)</f>
        <v>1659.1123630148684</v>
      </c>
      <c r="F113" s="250"/>
      <c r="G113" s="251">
        <f>E113+F113</f>
        <v>1659.1123630148684</v>
      </c>
      <c r="H113" s="252">
        <v>1.5820005603810592</v>
      </c>
      <c r="I113" s="250">
        <f>E113*H113</f>
        <v>2624.716688024665</v>
      </c>
      <c r="J113" s="253"/>
      <c r="K113" s="254">
        <f>I113+J113</f>
        <v>2624.716688024665</v>
      </c>
      <c r="L113" s="255"/>
      <c r="M113" s="256">
        <f>IF(D113&gt;C113,C113-D113,0)</f>
        <v>0</v>
      </c>
      <c r="N113" s="257">
        <f>IF(D113&lt;C113,C113-D113,0)</f>
        <v>125.38763698513162</v>
      </c>
    </row>
    <row r="114" spans="1:14" ht="12.75" customHeight="1">
      <c r="A114" s="259" t="s">
        <v>201</v>
      </c>
      <c r="B114" s="260" t="s">
        <v>182</v>
      </c>
      <c r="C114" s="261">
        <v>105.5</v>
      </c>
      <c r="D114" s="262">
        <v>108.02437424689562</v>
      </c>
      <c r="E114" s="249">
        <f>IF(C114&gt;=0.9*D114,D114,C114+0.1*D114)</f>
        <v>108.02437424689562</v>
      </c>
      <c r="F114" s="263"/>
      <c r="G114" s="251">
        <f>E114+F114</f>
        <v>108.02437424689562</v>
      </c>
      <c r="H114" s="264">
        <v>1.9872037914691945</v>
      </c>
      <c r="I114" s="250">
        <f>E114*H114</f>
        <v>214.66644607451818</v>
      </c>
      <c r="J114" s="265"/>
      <c r="K114" s="254">
        <f>I114+J114</f>
        <v>214.66644607451818</v>
      </c>
      <c r="L114" s="266"/>
      <c r="M114" s="256">
        <f>IF(D114&gt;C114,C114-D114,0)</f>
        <v>-2.5243742468956185</v>
      </c>
      <c r="N114" s="257">
        <f>IF(D114&lt;C114,C114-D114,0)</f>
        <v>0</v>
      </c>
    </row>
    <row r="115" spans="1:14" s="199" customFormat="1" ht="12.75" customHeight="1" thickBot="1">
      <c r="A115" s="267" t="s">
        <v>201</v>
      </c>
      <c r="B115" s="268" t="s">
        <v>183</v>
      </c>
      <c r="C115" s="247">
        <v>7000</v>
      </c>
      <c r="D115" s="248">
        <v>7107.42243435871</v>
      </c>
      <c r="E115" s="249">
        <f>IF(C115&lt;D115,C115,D115)</f>
        <v>7000</v>
      </c>
      <c r="F115" s="263"/>
      <c r="G115" s="251">
        <f>E115+F115</f>
        <v>7000</v>
      </c>
      <c r="H115" s="252">
        <v>1.6018785714285715</v>
      </c>
      <c r="I115" s="250">
        <f>E115*H115</f>
        <v>11213.15</v>
      </c>
      <c r="J115" s="269"/>
      <c r="K115" s="254">
        <f>I115+J115</f>
        <v>11213.15</v>
      </c>
      <c r="L115" s="270"/>
      <c r="M115" s="256">
        <f>IF(D115&gt;C115,C115-D115,0)</f>
        <v>-107.42243435871023</v>
      </c>
      <c r="N115" s="257">
        <f>IF(D115&lt;C115,C115-D115,0)</f>
        <v>0</v>
      </c>
    </row>
    <row r="116" spans="1:14" s="199" customFormat="1" ht="12.75" customHeight="1" thickBot="1">
      <c r="A116" s="271" t="s">
        <v>201</v>
      </c>
      <c r="B116" s="272" t="s">
        <v>144</v>
      </c>
      <c r="C116" s="273">
        <f>SUM(C111:C115)</f>
        <v>12268.5</v>
      </c>
      <c r="D116" s="274">
        <f>SUM(D111:D115)</f>
        <v>12239.358635538198</v>
      </c>
      <c r="E116" s="274">
        <f>SUM(E111:E115)</f>
        <v>12131.936201179487</v>
      </c>
      <c r="F116" s="275">
        <f>SUM(F111:F115)</f>
        <v>0</v>
      </c>
      <c r="G116" s="276">
        <f>SUM(G111:G115)</f>
        <v>12131.936201179487</v>
      </c>
      <c r="H116" s="275"/>
      <c r="I116" s="275">
        <f>SUM(I111:I115)</f>
        <v>19545.45746008728</v>
      </c>
      <c r="J116" s="275">
        <f>SUM(J111:J115)</f>
        <v>0</v>
      </c>
      <c r="K116" s="277">
        <f>SUM(K111:K115)</f>
        <v>19545.45746008728</v>
      </c>
      <c r="L116" s="278">
        <f>ROUND(K116*$N$186/$K$176,0)</f>
        <v>477636</v>
      </c>
      <c r="M116" s="279">
        <f>SUM(M111:M115)</f>
        <v>-109.94680860560585</v>
      </c>
      <c r="N116" s="280">
        <f>SUM(N111:N115)</f>
        <v>139.08817306740843</v>
      </c>
    </row>
    <row r="117" spans="1:14" s="199" customFormat="1" ht="12.75" customHeight="1">
      <c r="A117" s="285" t="s">
        <v>202</v>
      </c>
      <c r="B117" s="246" t="s">
        <v>179</v>
      </c>
      <c r="C117" s="247">
        <v>4074.5</v>
      </c>
      <c r="D117" s="248">
        <v>4295.800283750526</v>
      </c>
      <c r="E117" s="249">
        <f>IF(C117&gt;=0.9*D117,D117,C117+0.1*D117)</f>
        <v>4295.800283750526</v>
      </c>
      <c r="F117" s="250"/>
      <c r="G117" s="251">
        <f>E117+F117</f>
        <v>4295.800283750526</v>
      </c>
      <c r="H117" s="252">
        <v>1.1058485703767333</v>
      </c>
      <c r="I117" s="250">
        <f>E117*H117</f>
        <v>4750.504602409485</v>
      </c>
      <c r="J117" s="253"/>
      <c r="K117" s="254">
        <f>I117+J117</f>
        <v>4750.504602409485</v>
      </c>
      <c r="L117" s="255"/>
      <c r="M117" s="256">
        <f>IF(D117&gt;C117,C117-D117,0)</f>
        <v>-221.30028375052643</v>
      </c>
      <c r="N117" s="257">
        <f>IF(D117&lt;C117,C117-D117,0)</f>
        <v>0</v>
      </c>
    </row>
    <row r="118" spans="1:14" s="199" customFormat="1" ht="12.75" customHeight="1">
      <c r="A118" s="245" t="s">
        <v>202</v>
      </c>
      <c r="B118" s="246" t="s">
        <v>180</v>
      </c>
      <c r="C118" s="247">
        <v>0</v>
      </c>
      <c r="D118" s="248">
        <v>0</v>
      </c>
      <c r="E118" s="249">
        <f>IF(C118&gt;=0.9*D118,D118,C118+0.1*D118)</f>
        <v>0</v>
      </c>
      <c r="F118" s="250"/>
      <c r="G118" s="251">
        <f>E118+F118</f>
        <v>0</v>
      </c>
      <c r="H118" s="252"/>
      <c r="I118" s="250">
        <f>E118*H118</f>
        <v>0</v>
      </c>
      <c r="J118" s="253"/>
      <c r="K118" s="254">
        <f>I118+J118</f>
        <v>0</v>
      </c>
      <c r="L118" s="255"/>
      <c r="M118" s="256">
        <f>IF(D118&gt;C118,C118-D118,0)</f>
        <v>0</v>
      </c>
      <c r="N118" s="257">
        <f>IF(D118&lt;C118,C118-D118,0)</f>
        <v>0</v>
      </c>
    </row>
    <row r="119" spans="1:14" s="199" customFormat="1" ht="12.75" customHeight="1">
      <c r="A119" s="245" t="s">
        <v>202</v>
      </c>
      <c r="B119" s="246" t="s">
        <v>181</v>
      </c>
      <c r="C119" s="247">
        <v>2844</v>
      </c>
      <c r="D119" s="248">
        <v>2574.416889761899</v>
      </c>
      <c r="E119" s="249">
        <f>IF(C119&gt;=0.9*D119,D119,C119+0.1*D119)</f>
        <v>2574.416889761899</v>
      </c>
      <c r="F119" s="250"/>
      <c r="G119" s="251">
        <f>E119+F119</f>
        <v>2574.416889761899</v>
      </c>
      <c r="H119" s="252">
        <v>1.0629676511954993</v>
      </c>
      <c r="I119" s="250">
        <f>E119*H119</f>
        <v>2736.5218745082284</v>
      </c>
      <c r="J119" s="253"/>
      <c r="K119" s="254">
        <f>I119+J119</f>
        <v>2736.5218745082284</v>
      </c>
      <c r="L119" s="255"/>
      <c r="M119" s="256">
        <f>IF(D119&gt;C119,C119-D119,0)</f>
        <v>0</v>
      </c>
      <c r="N119" s="257">
        <f>IF(D119&lt;C119,C119-D119,0)</f>
        <v>269.5831102381012</v>
      </c>
    </row>
    <row r="120" spans="1:14" ht="12.75" customHeight="1">
      <c r="A120" s="259" t="s">
        <v>202</v>
      </c>
      <c r="B120" s="260" t="s">
        <v>182</v>
      </c>
      <c r="C120" s="261">
        <v>174.5</v>
      </c>
      <c r="D120" s="262">
        <v>197.7571710876327</v>
      </c>
      <c r="E120" s="249">
        <f>IF(C120&gt;=0.9*D120,D120,C120+0.1*D120)</f>
        <v>194.27571710876327</v>
      </c>
      <c r="F120" s="263"/>
      <c r="G120" s="251">
        <f>E120+F120</f>
        <v>194.27571710876327</v>
      </c>
      <c r="H120" s="264">
        <v>1.063323782234957</v>
      </c>
      <c r="I120" s="250">
        <f>E120*H120</f>
        <v>206.5779903124987</v>
      </c>
      <c r="J120" s="265"/>
      <c r="K120" s="254">
        <f>I120+J120</f>
        <v>206.5779903124987</v>
      </c>
      <c r="L120" s="266"/>
      <c r="M120" s="256">
        <f>IF(D120&gt;C120,C120-D120,0)</f>
        <v>-23.257171087632713</v>
      </c>
      <c r="N120" s="257">
        <f>IF(D120&lt;C120,C120-D120,0)</f>
        <v>0</v>
      </c>
    </row>
    <row r="121" spans="1:14" s="199" customFormat="1" ht="12.75" customHeight="1" thickBot="1">
      <c r="A121" s="267" t="s">
        <v>202</v>
      </c>
      <c r="B121" s="268" t="s">
        <v>183</v>
      </c>
      <c r="C121" s="247">
        <v>11088</v>
      </c>
      <c r="D121" s="248">
        <v>10505.461493688883</v>
      </c>
      <c r="E121" s="249">
        <f>IF(C121&lt;D121,C121,D121)</f>
        <v>10505.461493688883</v>
      </c>
      <c r="F121" s="263"/>
      <c r="G121" s="251">
        <f>E121+F121</f>
        <v>10505.461493688883</v>
      </c>
      <c r="H121" s="252">
        <v>1.0770301226551227</v>
      </c>
      <c r="I121" s="250">
        <f>E121*H121</f>
        <v>11314.698481096406</v>
      </c>
      <c r="J121" s="269"/>
      <c r="K121" s="254">
        <f>I121+J121</f>
        <v>11314.698481096406</v>
      </c>
      <c r="L121" s="270"/>
      <c r="M121" s="256">
        <f>IF(D121&gt;C121,C121-D121,0)</f>
        <v>0</v>
      </c>
      <c r="N121" s="257">
        <f>IF(D121&lt;C121,C121-D121,0)</f>
        <v>582.5385063111171</v>
      </c>
    </row>
    <row r="122" spans="1:14" s="199" customFormat="1" ht="12.75" customHeight="1" thickBot="1">
      <c r="A122" s="271" t="s">
        <v>202</v>
      </c>
      <c r="B122" s="272" t="s">
        <v>144</v>
      </c>
      <c r="C122" s="273">
        <f>SUM(C117:C121)</f>
        <v>18181</v>
      </c>
      <c r="D122" s="274">
        <f>SUM(D117:D121)</f>
        <v>17573.43583828894</v>
      </c>
      <c r="E122" s="274">
        <f>SUM(E117:E121)</f>
        <v>17569.95438431007</v>
      </c>
      <c r="F122" s="275">
        <f>SUM(F117:F121)</f>
        <v>0</v>
      </c>
      <c r="G122" s="276">
        <f>SUM(G117:G121)</f>
        <v>17569.95438431007</v>
      </c>
      <c r="H122" s="275"/>
      <c r="I122" s="275">
        <f>SUM(I117:I121)</f>
        <v>19008.30294832662</v>
      </c>
      <c r="J122" s="275">
        <f>SUM(J117:J121)</f>
        <v>0</v>
      </c>
      <c r="K122" s="277">
        <f>SUM(K117:K121)</f>
        <v>19008.30294832662</v>
      </c>
      <c r="L122" s="278">
        <f>ROUND(K122*$N$186/$K$176,0)</f>
        <v>464509</v>
      </c>
      <c r="M122" s="279">
        <f>SUM(M117:M121)</f>
        <v>-244.55745483815915</v>
      </c>
      <c r="N122" s="280">
        <f>SUM(N117:N121)</f>
        <v>852.1216165492183</v>
      </c>
    </row>
    <row r="123" spans="1:14" s="199" customFormat="1" ht="12.75" customHeight="1">
      <c r="A123" s="285" t="s">
        <v>203</v>
      </c>
      <c r="B123" s="246" t="s">
        <v>179</v>
      </c>
      <c r="C123" s="247">
        <v>6273.5</v>
      </c>
      <c r="D123" s="248">
        <v>5862.42981395774</v>
      </c>
      <c r="E123" s="249">
        <f>IF(C123&gt;=0.9*D123,D123,C123+0.1*D123)</f>
        <v>5862.42981395774</v>
      </c>
      <c r="F123" s="250"/>
      <c r="G123" s="251">
        <f>E123+F123</f>
        <v>5862.42981395774</v>
      </c>
      <c r="H123" s="252">
        <v>1.6173396030923726</v>
      </c>
      <c r="I123" s="250">
        <f>E123*H123</f>
        <v>9481.539908463303</v>
      </c>
      <c r="J123" s="253"/>
      <c r="K123" s="254">
        <f>I123+J123</f>
        <v>9481.539908463303</v>
      </c>
      <c r="L123" s="255"/>
      <c r="M123" s="256">
        <f>IF(D123&gt;C123,C123-D123,0)</f>
        <v>0</v>
      </c>
      <c r="N123" s="257">
        <f>IF(D123&lt;C123,C123-D123,0)</f>
        <v>411.0701860422596</v>
      </c>
    </row>
    <row r="124" spans="1:14" s="199" customFormat="1" ht="12.75" customHeight="1">
      <c r="A124" s="245" t="s">
        <v>203</v>
      </c>
      <c r="B124" s="246" t="s">
        <v>180</v>
      </c>
      <c r="C124" s="247">
        <v>0</v>
      </c>
      <c r="D124" s="248">
        <v>0</v>
      </c>
      <c r="E124" s="249">
        <f>IF(C124&gt;=0.9*D124,D124,C124+0.1*D124)</f>
        <v>0</v>
      </c>
      <c r="F124" s="250"/>
      <c r="G124" s="251">
        <f>E124+F124</f>
        <v>0</v>
      </c>
      <c r="H124" s="252"/>
      <c r="I124" s="250">
        <f>E124*H124</f>
        <v>0</v>
      </c>
      <c r="J124" s="253"/>
      <c r="K124" s="254">
        <f>I124+J124</f>
        <v>0</v>
      </c>
      <c r="L124" s="255"/>
      <c r="M124" s="256">
        <f>IF(D124&gt;C124,C124-D124,0)</f>
        <v>0</v>
      </c>
      <c r="N124" s="257">
        <f>IF(D124&lt;C124,C124-D124,0)</f>
        <v>0</v>
      </c>
    </row>
    <row r="125" spans="1:14" s="199" customFormat="1" ht="12.75" customHeight="1">
      <c r="A125" s="245" t="s">
        <v>203</v>
      </c>
      <c r="B125" s="246" t="s">
        <v>181</v>
      </c>
      <c r="C125" s="247">
        <v>3767.5</v>
      </c>
      <c r="D125" s="248">
        <v>2865.91280768362</v>
      </c>
      <c r="E125" s="249">
        <f>IF(C125&gt;=0.9*D125,D125,C125+0.1*D125)</f>
        <v>2865.91280768362</v>
      </c>
      <c r="F125" s="250"/>
      <c r="G125" s="251">
        <f>E125+F125</f>
        <v>2865.91280768362</v>
      </c>
      <c r="H125" s="252">
        <v>1.4422269409422694</v>
      </c>
      <c r="I125" s="250">
        <f>E125*H125</f>
        <v>4133.296661632818</v>
      </c>
      <c r="J125" s="253"/>
      <c r="K125" s="254">
        <f>I125+J125</f>
        <v>4133.296661632818</v>
      </c>
      <c r="L125" s="255"/>
      <c r="M125" s="256">
        <f>IF(D125&gt;C125,C125-D125,0)</f>
        <v>0</v>
      </c>
      <c r="N125" s="257">
        <f>IF(D125&lt;C125,C125-D125,0)</f>
        <v>901.58719231638</v>
      </c>
    </row>
    <row r="126" spans="1:14" ht="12.75" customHeight="1">
      <c r="A126" s="259" t="s">
        <v>203</v>
      </c>
      <c r="B126" s="260" t="s">
        <v>182</v>
      </c>
      <c r="C126" s="261">
        <v>245.5</v>
      </c>
      <c r="D126" s="262">
        <v>263.92539535194715</v>
      </c>
      <c r="E126" s="249">
        <f>IF(C126&gt;=0.9*D126,D126,C126+0.1*D126)</f>
        <v>263.92539535194715</v>
      </c>
      <c r="F126" s="263"/>
      <c r="G126" s="251">
        <f>E126+F126</f>
        <v>263.92539535194715</v>
      </c>
      <c r="H126" s="264">
        <v>1.8204887983706721</v>
      </c>
      <c r="I126" s="250">
        <f>E126*H126</f>
        <v>480.4732258437708</v>
      </c>
      <c r="J126" s="265"/>
      <c r="K126" s="254">
        <f>I126+J126</f>
        <v>480.4732258437708</v>
      </c>
      <c r="L126" s="266"/>
      <c r="M126" s="256">
        <f>IF(D126&gt;C126,C126-D126,0)</f>
        <v>-18.425395351947145</v>
      </c>
      <c r="N126" s="257">
        <f>IF(D126&lt;C126,C126-D126,0)</f>
        <v>0</v>
      </c>
    </row>
    <row r="127" spans="1:14" s="199" customFormat="1" ht="12.75" customHeight="1" thickBot="1">
      <c r="A127" s="267" t="s">
        <v>203</v>
      </c>
      <c r="B127" s="268" t="s">
        <v>183</v>
      </c>
      <c r="C127" s="247">
        <v>11102.5</v>
      </c>
      <c r="D127" s="248">
        <v>10684.8592521233</v>
      </c>
      <c r="E127" s="249">
        <f>IF(C127&lt;D127,C127,D127)</f>
        <v>10684.8592521233</v>
      </c>
      <c r="F127" s="263"/>
      <c r="G127" s="251">
        <f>E127+F127</f>
        <v>10684.8592521233</v>
      </c>
      <c r="H127" s="252">
        <v>1.5509533888763791</v>
      </c>
      <c r="I127" s="250">
        <f>E127*H127</f>
        <v>16571.718666747765</v>
      </c>
      <c r="J127" s="269"/>
      <c r="K127" s="254">
        <f>I127+J127</f>
        <v>16571.718666747765</v>
      </c>
      <c r="L127" s="270"/>
      <c r="M127" s="256">
        <f>IF(D127&gt;C127,C127-D127,0)</f>
        <v>0</v>
      </c>
      <c r="N127" s="257">
        <f>IF(D127&lt;C127,C127-D127,0)</f>
        <v>417.6407478766996</v>
      </c>
    </row>
    <row r="128" spans="1:15" s="199" customFormat="1" ht="12.75" customHeight="1" thickBot="1">
      <c r="A128" s="271" t="s">
        <v>203</v>
      </c>
      <c r="B128" s="272" t="s">
        <v>144</v>
      </c>
      <c r="C128" s="273">
        <f>SUM(C123:C127)</f>
        <v>21389</v>
      </c>
      <c r="D128" s="274">
        <f>SUM(D123:D127)</f>
        <v>19677.12726911661</v>
      </c>
      <c r="E128" s="274">
        <f>SUM(E123:E127)</f>
        <v>19677.12726911661</v>
      </c>
      <c r="F128" s="275">
        <f>SUM(F123:F127)</f>
        <v>0</v>
      </c>
      <c r="G128" s="276">
        <f>SUM(G123:G127)</f>
        <v>19677.12726911661</v>
      </c>
      <c r="H128" s="275"/>
      <c r="I128" s="275">
        <f>SUM(I123:I127)</f>
        <v>30667.028462687656</v>
      </c>
      <c r="J128" s="275">
        <f>SUM(J123:J127)</f>
        <v>0</v>
      </c>
      <c r="K128" s="277">
        <f>SUM(K123:K127)</f>
        <v>30667.028462687656</v>
      </c>
      <c r="L128" s="278">
        <f>ROUND(K128*$N$186/$K$176,0)</f>
        <v>749416</v>
      </c>
      <c r="M128" s="279">
        <f>SUM(M123:M127)</f>
        <v>-18.425395351947145</v>
      </c>
      <c r="N128" s="280">
        <f>SUM(N123:N127)</f>
        <v>1730.2981262353392</v>
      </c>
      <c r="O128"/>
    </row>
    <row r="129" spans="1:15" s="199" customFormat="1" ht="12.75" customHeight="1">
      <c r="A129" s="285" t="s">
        <v>204</v>
      </c>
      <c r="B129" s="246" t="s">
        <v>179</v>
      </c>
      <c r="C129" s="247">
        <v>2982</v>
      </c>
      <c r="D129" s="248">
        <v>2862.4787741320033</v>
      </c>
      <c r="E129" s="249">
        <f>IF(C129&gt;=0.9*D129,D129,C129+0.1*D129)</f>
        <v>2862.4787741320033</v>
      </c>
      <c r="F129" s="250"/>
      <c r="G129" s="251">
        <f>E129+F129</f>
        <v>2862.4787741320033</v>
      </c>
      <c r="H129" s="252">
        <v>1.786244131455399</v>
      </c>
      <c r="I129" s="250">
        <f>E129*H129</f>
        <v>5113.085911708936</v>
      </c>
      <c r="J129" s="253"/>
      <c r="K129" s="254">
        <f>I129+J129</f>
        <v>5113.085911708936</v>
      </c>
      <c r="L129" s="255"/>
      <c r="M129" s="256">
        <f>IF(D129&gt;C129,C129-D129,0)</f>
        <v>0</v>
      </c>
      <c r="N129" s="257">
        <f>IF(D129&lt;C129,C129-D129,0)</f>
        <v>119.52122586799669</v>
      </c>
      <c r="O129"/>
    </row>
    <row r="130" spans="1:15" s="199" customFormat="1" ht="12.75" customHeight="1">
      <c r="A130" s="245" t="s">
        <v>204</v>
      </c>
      <c r="B130" s="246" t="s">
        <v>180</v>
      </c>
      <c r="C130" s="247">
        <v>0</v>
      </c>
      <c r="D130" s="248">
        <v>0</v>
      </c>
      <c r="E130" s="249">
        <f>IF(C130&gt;=0.9*D130,D130,C130+0.1*D130)</f>
        <v>0</v>
      </c>
      <c r="F130" s="250"/>
      <c r="G130" s="251">
        <f>E130+F130</f>
        <v>0</v>
      </c>
      <c r="H130" s="252"/>
      <c r="I130" s="250">
        <f>E130*H130</f>
        <v>0</v>
      </c>
      <c r="J130" s="253"/>
      <c r="K130" s="254">
        <f>I130+J130</f>
        <v>0</v>
      </c>
      <c r="L130" s="255"/>
      <c r="M130" s="256">
        <f>IF(D130&gt;C130,C130-D130,0)</f>
        <v>0</v>
      </c>
      <c r="N130" s="257">
        <f>IF(D130&lt;C130,C130-D130,0)</f>
        <v>0</v>
      </c>
      <c r="O130"/>
    </row>
    <row r="131" spans="1:15" s="199" customFormat="1" ht="12.75" customHeight="1">
      <c r="A131" s="245" t="s">
        <v>204</v>
      </c>
      <c r="B131" s="246" t="s">
        <v>181</v>
      </c>
      <c r="C131" s="247">
        <v>1362</v>
      </c>
      <c r="D131" s="248">
        <v>1311.350269627694</v>
      </c>
      <c r="E131" s="249">
        <f>IF(C131&gt;=0.9*D131,D131,C131+0.1*D131)</f>
        <v>1311.350269627694</v>
      </c>
      <c r="F131" s="250"/>
      <c r="G131" s="251">
        <f>E131+F131</f>
        <v>1311.350269627694</v>
      </c>
      <c r="H131" s="252">
        <v>1.7393979441997063</v>
      </c>
      <c r="I131" s="250">
        <f>E131*H131</f>
        <v>2280.9599631161414</v>
      </c>
      <c r="J131" s="253"/>
      <c r="K131" s="254">
        <f>I131+J131</f>
        <v>2280.9599631161414</v>
      </c>
      <c r="L131" s="255"/>
      <c r="M131" s="256">
        <f>IF(D131&gt;C131,C131-D131,0)</f>
        <v>0</v>
      </c>
      <c r="N131" s="257">
        <f>IF(D131&lt;C131,C131-D131,0)</f>
        <v>50.64973037230607</v>
      </c>
      <c r="O131"/>
    </row>
    <row r="132" spans="1:15" ht="12.75" customHeight="1">
      <c r="A132" s="245" t="s">
        <v>204</v>
      </c>
      <c r="B132" s="260" t="s">
        <v>182</v>
      </c>
      <c r="C132" s="261">
        <v>161.5</v>
      </c>
      <c r="D132" s="262">
        <v>174.89522103039826</v>
      </c>
      <c r="E132" s="249">
        <f>IF(C132&gt;=0.9*D132,D132,C132+0.1*D132)</f>
        <v>174.89522103039826</v>
      </c>
      <c r="F132" s="263"/>
      <c r="G132" s="251">
        <f>E132+F132</f>
        <v>174.89522103039826</v>
      </c>
      <c r="H132" s="264">
        <v>1.9057636887608067</v>
      </c>
      <c r="I132" s="250">
        <f>E132*H132</f>
        <v>333.3089615775284</v>
      </c>
      <c r="J132" s="265"/>
      <c r="K132" s="254">
        <f>I132+J132</f>
        <v>333.3089615775284</v>
      </c>
      <c r="L132" s="266"/>
      <c r="M132" s="256">
        <f>IF(D132&gt;C132,C132-D132,0)</f>
        <v>-13.395221030398261</v>
      </c>
      <c r="N132" s="257">
        <f>IF(D132&lt;C132,C132-D132,0)</f>
        <v>0</v>
      </c>
      <c r="O132"/>
    </row>
    <row r="133" spans="1:15" s="199" customFormat="1" ht="12.75" customHeight="1" thickBot="1">
      <c r="A133" s="245" t="s">
        <v>204</v>
      </c>
      <c r="B133" s="268" t="s">
        <v>183</v>
      </c>
      <c r="C133" s="247">
        <v>5837.5</v>
      </c>
      <c r="D133" s="248">
        <v>5670.311990986004</v>
      </c>
      <c r="E133" s="249">
        <f>IF(C133&lt;D133,C133,D133)</f>
        <v>5670.311990986004</v>
      </c>
      <c r="F133" s="263"/>
      <c r="G133" s="251">
        <f>E133+F133</f>
        <v>5670.311990986004</v>
      </c>
      <c r="H133" s="252">
        <v>1.7464753747323338</v>
      </c>
      <c r="I133" s="250">
        <f>E133*H133</f>
        <v>9903.060259306527</v>
      </c>
      <c r="J133" s="269"/>
      <c r="K133" s="254">
        <f>I133+J133</f>
        <v>9903.060259306527</v>
      </c>
      <c r="L133" s="270"/>
      <c r="M133" s="256">
        <f>IF(D133&gt;C133,C133-D133,0)</f>
        <v>0</v>
      </c>
      <c r="N133" s="257">
        <f>IF(D133&lt;C133,C133-D133,0)</f>
        <v>167.18800901399572</v>
      </c>
      <c r="O133"/>
    </row>
    <row r="134" spans="1:15" s="199" customFormat="1" ht="12.75" customHeight="1" thickBot="1">
      <c r="A134" s="271" t="s">
        <v>205</v>
      </c>
      <c r="B134" s="272" t="s">
        <v>144</v>
      </c>
      <c r="C134" s="273">
        <f>SUM(C129:C133)</f>
        <v>10343</v>
      </c>
      <c r="D134" s="274">
        <f>SUM(D129:D133)</f>
        <v>10019.0362557761</v>
      </c>
      <c r="E134" s="274">
        <f>SUM(E129:E133)</f>
        <v>10019.0362557761</v>
      </c>
      <c r="F134" s="275">
        <f>SUM(F129:F133)</f>
        <v>0</v>
      </c>
      <c r="G134" s="276">
        <f>SUM(G129:G133)</f>
        <v>10019.0362557761</v>
      </c>
      <c r="H134" s="275"/>
      <c r="I134" s="275">
        <f>SUM(I129:I133)</f>
        <v>17630.415095709133</v>
      </c>
      <c r="J134" s="275">
        <f>SUM(J129:J133)</f>
        <v>0</v>
      </c>
      <c r="K134" s="277">
        <f>SUM(K129:K133)</f>
        <v>17630.415095709133</v>
      </c>
      <c r="L134" s="278">
        <f>ROUND(K134*$N$186/$K$176,0)</f>
        <v>430838</v>
      </c>
      <c r="M134" s="279">
        <f>SUM(M129:M133)</f>
        <v>-13.395221030398261</v>
      </c>
      <c r="N134" s="280">
        <f>SUM(N129:N133)</f>
        <v>337.3589652542985</v>
      </c>
      <c r="O134"/>
    </row>
    <row r="135" spans="1:14" s="199" customFormat="1" ht="12.75" customHeight="1">
      <c r="A135" s="285" t="s">
        <v>206</v>
      </c>
      <c r="B135" s="246" t="s">
        <v>179</v>
      </c>
      <c r="C135" s="247">
        <v>192.5</v>
      </c>
      <c r="D135" s="248">
        <v>218.38040023623228</v>
      </c>
      <c r="E135" s="249">
        <f>IF(C135&gt;=0.9*D135,D135,C135+0.1*D135)</f>
        <v>214.33804002362322</v>
      </c>
      <c r="F135" s="250"/>
      <c r="G135" s="251">
        <f>E135+F135</f>
        <v>214.33804002362322</v>
      </c>
      <c r="H135" s="252">
        <v>5.9</v>
      </c>
      <c r="I135" s="250">
        <f>E135*H135</f>
        <v>1264.5944361393772</v>
      </c>
      <c r="J135" s="253"/>
      <c r="K135" s="254">
        <f>I135+J135</f>
        <v>1264.5944361393772</v>
      </c>
      <c r="L135" s="255"/>
      <c r="M135" s="256">
        <f>IF(D135&gt;C135,C135-D135,0)</f>
        <v>-25.880400236232276</v>
      </c>
      <c r="N135" s="257">
        <f>IF(D135&lt;C135,C135-D135,0)</f>
        <v>0</v>
      </c>
    </row>
    <row r="136" spans="1:14" s="199" customFormat="1" ht="12.75" customHeight="1">
      <c r="A136" s="245" t="s">
        <v>206</v>
      </c>
      <c r="B136" s="246" t="s">
        <v>180</v>
      </c>
      <c r="C136" s="247">
        <v>24</v>
      </c>
      <c r="D136" s="248">
        <v>26.116032822735022</v>
      </c>
      <c r="E136" s="249">
        <f>IF(C136&gt;=0.9*D136,D136,C136+0.1*D136)</f>
        <v>26.116032822735022</v>
      </c>
      <c r="F136" s="250"/>
      <c r="G136" s="251">
        <f>E136+F136</f>
        <v>26.116032822735022</v>
      </c>
      <c r="H136" s="252">
        <v>5.8999999999999995</v>
      </c>
      <c r="I136" s="250">
        <f>E136*H136</f>
        <v>154.08459365413663</v>
      </c>
      <c r="J136" s="253"/>
      <c r="K136" s="254">
        <f>I136+J136</f>
        <v>154.08459365413663</v>
      </c>
      <c r="L136" s="255"/>
      <c r="M136" s="256">
        <f>IF(D136&gt;C136,C136-D136,0)</f>
        <v>-2.116032822735022</v>
      </c>
      <c r="N136" s="257">
        <f>IF(D136&lt;C136,C136-D136,0)</f>
        <v>0</v>
      </c>
    </row>
    <row r="137" spans="1:14" s="199" customFormat="1" ht="12.75" customHeight="1">
      <c r="A137" s="245" t="s">
        <v>206</v>
      </c>
      <c r="B137" s="246" t="s">
        <v>181</v>
      </c>
      <c r="C137" s="247">
        <v>169</v>
      </c>
      <c r="D137" s="248">
        <v>161.06044891373242</v>
      </c>
      <c r="E137" s="249">
        <f>IF(C137&gt;=0.9*D137,D137,C137+0.1*D137)</f>
        <v>161.06044891373242</v>
      </c>
      <c r="F137" s="250"/>
      <c r="G137" s="251">
        <f>E137+F137</f>
        <v>161.06044891373242</v>
      </c>
      <c r="H137" s="252">
        <v>5.9</v>
      </c>
      <c r="I137" s="250">
        <f>E137*H137</f>
        <v>950.2566485910213</v>
      </c>
      <c r="J137" s="253"/>
      <c r="K137" s="254">
        <f>I137+J137</f>
        <v>950.2566485910213</v>
      </c>
      <c r="L137" s="255"/>
      <c r="M137" s="256">
        <f>IF(D137&gt;C137,C137-D137,0)</f>
        <v>0</v>
      </c>
      <c r="N137" s="257">
        <f>IF(D137&lt;C137,C137-D137,0)</f>
        <v>7.939551086267585</v>
      </c>
    </row>
    <row r="138" spans="1:14" ht="12.75" customHeight="1">
      <c r="A138" s="259" t="s">
        <v>206</v>
      </c>
      <c r="B138" s="260" t="s">
        <v>182</v>
      </c>
      <c r="C138" s="261">
        <v>23</v>
      </c>
      <c r="D138" s="262">
        <v>32.91078712660968</v>
      </c>
      <c r="E138" s="249">
        <f>IF(C138&gt;=0.9*D138,D138,C138+0.1*D138)</f>
        <v>26.29107871266097</v>
      </c>
      <c r="F138" s="263"/>
      <c r="G138" s="251">
        <f>E138+F138</f>
        <v>26.29107871266097</v>
      </c>
      <c r="H138" s="264">
        <v>5.8999999999999995</v>
      </c>
      <c r="I138" s="250">
        <f>E138*H138</f>
        <v>155.1173644046997</v>
      </c>
      <c r="J138" s="265"/>
      <c r="K138" s="254">
        <f>I138+J138</f>
        <v>155.1173644046997</v>
      </c>
      <c r="L138" s="266"/>
      <c r="M138" s="256">
        <f>IF(D138&gt;C138,C138-D138,0)</f>
        <v>-9.910787126609677</v>
      </c>
      <c r="N138" s="257">
        <f>IF(D138&lt;C138,C138-D138,0)</f>
        <v>0</v>
      </c>
    </row>
    <row r="139" spans="1:14" s="199" customFormat="1" ht="12.75" customHeight="1" thickBot="1">
      <c r="A139" s="267" t="s">
        <v>206</v>
      </c>
      <c r="B139" s="268" t="s">
        <v>183</v>
      </c>
      <c r="C139" s="247">
        <v>818</v>
      </c>
      <c r="D139" s="248">
        <v>823.4630042274941</v>
      </c>
      <c r="E139" s="249">
        <f>IF(C139&lt;D139,C139,D139)</f>
        <v>818</v>
      </c>
      <c r="F139" s="263"/>
      <c r="G139" s="251">
        <f>E139+F139</f>
        <v>818</v>
      </c>
      <c r="H139" s="252">
        <v>5.8999999999999995</v>
      </c>
      <c r="I139" s="250">
        <f>E139*H139</f>
        <v>4826.2</v>
      </c>
      <c r="J139" s="269"/>
      <c r="K139" s="254">
        <f>I139+J139</f>
        <v>4826.2</v>
      </c>
      <c r="L139" s="270"/>
      <c r="M139" s="256">
        <f>IF(D139&gt;C139,C139-D139,0)</f>
        <v>-5.463004227494139</v>
      </c>
      <c r="N139" s="257">
        <f>IF(D139&lt;C139,C139-D139,0)</f>
        <v>0</v>
      </c>
    </row>
    <row r="140" spans="1:14" s="199" customFormat="1" ht="12.75" customHeight="1" thickBot="1">
      <c r="A140" s="271" t="s">
        <v>206</v>
      </c>
      <c r="B140" s="272" t="s">
        <v>144</v>
      </c>
      <c r="C140" s="273">
        <f>SUM(C135:C139)</f>
        <v>1226.5</v>
      </c>
      <c r="D140" s="274">
        <f>SUM(D135:D139)</f>
        <v>1261.9306733268036</v>
      </c>
      <c r="E140" s="274">
        <f>SUM(E135:E139)</f>
        <v>1245.8056004727516</v>
      </c>
      <c r="F140" s="275">
        <f>SUM(F135:F139)</f>
        <v>0</v>
      </c>
      <c r="G140" s="276">
        <f>SUM(G135:G139)</f>
        <v>1245.8056004727516</v>
      </c>
      <c r="H140" s="275"/>
      <c r="I140" s="275">
        <f>SUM(I135:I139)</f>
        <v>7350.253042789234</v>
      </c>
      <c r="J140" s="275">
        <f>SUM(J135:J139)</f>
        <v>0</v>
      </c>
      <c r="K140" s="277">
        <f>SUM(K135:K139)</f>
        <v>7350.253042789234</v>
      </c>
      <c r="L140" s="278">
        <f>ROUND(K140*$N$186/$K$176,0)</f>
        <v>179619</v>
      </c>
      <c r="M140" s="279">
        <f>SUM(M135:M139)</f>
        <v>-43.370224413071114</v>
      </c>
      <c r="N140" s="280">
        <f>SUM(N135:N139)</f>
        <v>7.939551086267585</v>
      </c>
    </row>
    <row r="141" spans="1:14" s="199" customFormat="1" ht="12.75" customHeight="1">
      <c r="A141" s="285" t="s">
        <v>207</v>
      </c>
      <c r="B141" s="246" t="s">
        <v>179</v>
      </c>
      <c r="C141" s="247">
        <v>0</v>
      </c>
      <c r="D141" s="248">
        <v>0</v>
      </c>
      <c r="E141" s="249">
        <f>IF(C141&gt;=0.9*D141,D141,C141+0.1*D141)</f>
        <v>0</v>
      </c>
      <c r="F141" s="250"/>
      <c r="G141" s="251">
        <f>E141+F141</f>
        <v>0</v>
      </c>
      <c r="H141" s="252"/>
      <c r="I141" s="250">
        <f>E141*H141</f>
        <v>0</v>
      </c>
      <c r="J141" s="253"/>
      <c r="K141" s="254">
        <f>I141+J141</f>
        <v>0</v>
      </c>
      <c r="L141" s="255"/>
      <c r="M141" s="256">
        <f>IF(D141&gt;C141,C141-D141,0)</f>
        <v>0</v>
      </c>
      <c r="N141" s="257">
        <f>IF(D141&lt;C141,C141-D141,0)</f>
        <v>0</v>
      </c>
    </row>
    <row r="142" spans="1:14" s="199" customFormat="1" ht="12.75" customHeight="1">
      <c r="A142" s="245" t="s">
        <v>207</v>
      </c>
      <c r="B142" s="246" t="s">
        <v>180</v>
      </c>
      <c r="C142" s="247">
        <v>53</v>
      </c>
      <c r="D142" s="248">
        <v>47.4688305306247</v>
      </c>
      <c r="E142" s="249">
        <f>IF(C142&gt;=0.9*D142,D142,C142+0.1*D142)</f>
        <v>47.4688305306247</v>
      </c>
      <c r="F142" s="250"/>
      <c r="G142" s="251">
        <f>E142+F142</f>
        <v>47.4688305306247</v>
      </c>
      <c r="H142" s="252">
        <v>5.8999999999999995</v>
      </c>
      <c r="I142" s="250">
        <f>E142*H142</f>
        <v>280.0661001306857</v>
      </c>
      <c r="J142" s="253"/>
      <c r="K142" s="254">
        <f>I142+J142</f>
        <v>280.0661001306857</v>
      </c>
      <c r="L142" s="255"/>
      <c r="M142" s="256">
        <f>IF(D142&gt;C142,C142-D142,0)</f>
        <v>0</v>
      </c>
      <c r="N142" s="257">
        <f>IF(D142&lt;C142,C142-D142,0)</f>
        <v>5.5311694693753</v>
      </c>
    </row>
    <row r="143" spans="1:14" s="199" customFormat="1" ht="12.75" customHeight="1">
      <c r="A143" s="245" t="s">
        <v>207</v>
      </c>
      <c r="B143" s="246" t="s">
        <v>181</v>
      </c>
      <c r="C143" s="247">
        <v>0</v>
      </c>
      <c r="D143" s="248">
        <v>0</v>
      </c>
      <c r="E143" s="249">
        <f>IF(C143&gt;=0.9*D143,D143,C143+0.1*D143)</f>
        <v>0</v>
      </c>
      <c r="F143" s="250"/>
      <c r="G143" s="251">
        <f>E143+F143</f>
        <v>0</v>
      </c>
      <c r="H143" s="252"/>
      <c r="I143" s="250">
        <f>E143*H143</f>
        <v>0</v>
      </c>
      <c r="J143" s="253"/>
      <c r="K143" s="254">
        <f>I143+J143</f>
        <v>0</v>
      </c>
      <c r="L143" s="255"/>
      <c r="M143" s="256">
        <f>IF(D143&gt;C143,C143-D143,0)</f>
        <v>0</v>
      </c>
      <c r="N143" s="257">
        <f>IF(D143&lt;C143,C143-D143,0)</f>
        <v>0</v>
      </c>
    </row>
    <row r="144" spans="1:14" ht="12.75" customHeight="1">
      <c r="A144" s="259" t="s">
        <v>207</v>
      </c>
      <c r="B144" s="260" t="s">
        <v>182</v>
      </c>
      <c r="C144" s="261">
        <v>9</v>
      </c>
      <c r="D144" s="262">
        <v>6.222058139303439</v>
      </c>
      <c r="E144" s="249">
        <f>IF(C144&gt;=0.9*D144,D144,C144+0.1*D144)</f>
        <v>6.222058139303439</v>
      </c>
      <c r="F144" s="263"/>
      <c r="G144" s="251">
        <f>E144+F144</f>
        <v>6.222058139303439</v>
      </c>
      <c r="H144" s="264">
        <v>5.9</v>
      </c>
      <c r="I144" s="250">
        <f>E144*H144</f>
        <v>36.71014302189029</v>
      </c>
      <c r="J144" s="265"/>
      <c r="K144" s="254">
        <f>I144+J144</f>
        <v>36.71014302189029</v>
      </c>
      <c r="L144" s="266"/>
      <c r="M144" s="256">
        <f>IF(D144&gt;C144,C144-D144,0)</f>
        <v>0</v>
      </c>
      <c r="N144" s="257">
        <f>IF(D144&lt;C144,C144-D144,0)</f>
        <v>2.7779418606965613</v>
      </c>
    </row>
    <row r="145" spans="1:14" s="199" customFormat="1" ht="12.75" customHeight="1" thickBot="1">
      <c r="A145" s="267" t="s">
        <v>207</v>
      </c>
      <c r="B145" s="268" t="s">
        <v>183</v>
      </c>
      <c r="C145" s="247">
        <v>266.5</v>
      </c>
      <c r="D145" s="248">
        <v>270.38881857397496</v>
      </c>
      <c r="E145" s="249">
        <f>IF(C145&lt;D145,C145,D145)</f>
        <v>266.5</v>
      </c>
      <c r="F145" s="263"/>
      <c r="G145" s="251">
        <f>E145+F145</f>
        <v>266.5</v>
      </c>
      <c r="H145" s="252">
        <v>5.8999999999999995</v>
      </c>
      <c r="I145" s="250">
        <f>E145*H145</f>
        <v>1572.35</v>
      </c>
      <c r="J145" s="269"/>
      <c r="K145" s="254">
        <f>I145+J145</f>
        <v>1572.35</v>
      </c>
      <c r="L145" s="270"/>
      <c r="M145" s="256">
        <f>IF(D145&gt;C145,C145-D145,0)</f>
        <v>-3.888818573974959</v>
      </c>
      <c r="N145" s="257">
        <f>IF(D145&lt;C145,C145-D145,0)</f>
        <v>0</v>
      </c>
    </row>
    <row r="146" spans="1:14" s="199" customFormat="1" ht="12.75" customHeight="1" thickBot="1">
      <c r="A146" s="271" t="s">
        <v>207</v>
      </c>
      <c r="B146" s="272" t="s">
        <v>144</v>
      </c>
      <c r="C146" s="273">
        <f>SUM(C141:C145)</f>
        <v>328.5</v>
      </c>
      <c r="D146" s="274">
        <f>SUM(D141:D145)</f>
        <v>324.0797072439031</v>
      </c>
      <c r="E146" s="274">
        <f>SUM(E141:E145)</f>
        <v>320.19088866992814</v>
      </c>
      <c r="F146" s="275">
        <f>SUM(F141:F145)</f>
        <v>0</v>
      </c>
      <c r="G146" s="276">
        <f>SUM(G141:G145)</f>
        <v>320.19088866992814</v>
      </c>
      <c r="H146" s="275"/>
      <c r="I146" s="275">
        <f>SUM(I141:I145)</f>
        <v>1889.1262431525759</v>
      </c>
      <c r="J146" s="275">
        <f>SUM(J141:J145)</f>
        <v>0</v>
      </c>
      <c r="K146" s="277">
        <f>SUM(K141:K145)</f>
        <v>1889.1262431525759</v>
      </c>
      <c r="L146" s="278">
        <f>ROUND(K146*$N$186/$K$176,0)</f>
        <v>46165</v>
      </c>
      <c r="M146" s="279">
        <f>SUM(M141:M145)</f>
        <v>-3.888818573974959</v>
      </c>
      <c r="N146" s="280">
        <f>SUM(N141:N145)</f>
        <v>8.309111330071861</v>
      </c>
    </row>
    <row r="147" spans="1:14" s="199" customFormat="1" ht="12.75" customHeight="1">
      <c r="A147" s="285" t="s">
        <v>140</v>
      </c>
      <c r="B147" s="246" t="s">
        <v>179</v>
      </c>
      <c r="C147" s="247">
        <v>65</v>
      </c>
      <c r="D147" s="248">
        <v>64</v>
      </c>
      <c r="E147" s="249">
        <f>IF(C147&gt;=0.9*D147,D147,C147+0.1*D147)</f>
        <v>64</v>
      </c>
      <c r="F147" s="250"/>
      <c r="G147" s="251">
        <f>E147+F147</f>
        <v>64</v>
      </c>
      <c r="H147" s="252">
        <v>5.9</v>
      </c>
      <c r="I147" s="250">
        <f>E147*H147</f>
        <v>377.6</v>
      </c>
      <c r="J147" s="253"/>
      <c r="K147" s="254">
        <f>I147+J147</f>
        <v>377.6</v>
      </c>
      <c r="L147" s="255"/>
      <c r="M147" s="256">
        <f>IF(D147&gt;C147,C147-D147,0)</f>
        <v>0</v>
      </c>
      <c r="N147" s="257">
        <f>IF(D147&lt;C147,C147-D147,0)</f>
        <v>1</v>
      </c>
    </row>
    <row r="148" spans="1:14" s="199" customFormat="1" ht="12.75" customHeight="1">
      <c r="A148" s="245" t="s">
        <v>140</v>
      </c>
      <c r="B148" s="246" t="s">
        <v>180</v>
      </c>
      <c r="C148" s="247">
        <v>2</v>
      </c>
      <c r="D148" s="248">
        <v>0</v>
      </c>
      <c r="E148" s="249">
        <f>IF(C148&gt;=0.9*D148,D148,C148+0.1*D148)</f>
        <v>0</v>
      </c>
      <c r="F148" s="250"/>
      <c r="G148" s="251">
        <f>E148+F148</f>
        <v>0</v>
      </c>
      <c r="H148" s="252">
        <v>5.9</v>
      </c>
      <c r="I148" s="250">
        <f>E148*H148</f>
        <v>0</v>
      </c>
      <c r="J148" s="253"/>
      <c r="K148" s="254">
        <f>I148+J148</f>
        <v>0</v>
      </c>
      <c r="L148" s="255"/>
      <c r="M148" s="256">
        <f>IF(D148&gt;C148,C148-D148,0)</f>
        <v>0</v>
      </c>
      <c r="N148" s="257">
        <f>IF(D148&lt;C148,C148-D148,0)</f>
        <v>2</v>
      </c>
    </row>
    <row r="149" spans="1:14" s="199" customFormat="1" ht="12.75" customHeight="1">
      <c r="A149" s="245" t="s">
        <v>140</v>
      </c>
      <c r="B149" s="246" t="s">
        <v>181</v>
      </c>
      <c r="C149" s="247">
        <v>27</v>
      </c>
      <c r="D149" s="248">
        <v>27</v>
      </c>
      <c r="E149" s="249">
        <f>IF(C149&gt;=0.9*D149,D149,C149+0.1*D149)</f>
        <v>27</v>
      </c>
      <c r="F149" s="250"/>
      <c r="G149" s="251">
        <f>E149+F149</f>
        <v>27</v>
      </c>
      <c r="H149" s="252">
        <v>4.266666666666667</v>
      </c>
      <c r="I149" s="250">
        <f>E149*H149</f>
        <v>115.2</v>
      </c>
      <c r="J149" s="253"/>
      <c r="K149" s="254">
        <f>I149+J149</f>
        <v>115.2</v>
      </c>
      <c r="L149" s="255"/>
      <c r="M149" s="256">
        <f>IF(D149&gt;C149,C149-D149,0)</f>
        <v>0</v>
      </c>
      <c r="N149" s="257">
        <f>IF(D149&lt;C149,C149-D149,0)</f>
        <v>0</v>
      </c>
    </row>
    <row r="150" spans="1:14" ht="12.75" customHeight="1">
      <c r="A150" s="259" t="s">
        <v>140</v>
      </c>
      <c r="B150" s="260" t="s">
        <v>182</v>
      </c>
      <c r="C150" s="261">
        <v>5</v>
      </c>
      <c r="D150" s="262">
        <v>4</v>
      </c>
      <c r="E150" s="249">
        <f>IF(C150&gt;=0.9*D150,D150,C150+0.1*D150)</f>
        <v>4</v>
      </c>
      <c r="F150" s="263"/>
      <c r="G150" s="251">
        <f>E150+F150</f>
        <v>4</v>
      </c>
      <c r="H150" s="264">
        <v>2.96</v>
      </c>
      <c r="I150" s="250">
        <f>E150*H150</f>
        <v>11.84</v>
      </c>
      <c r="J150" s="265"/>
      <c r="K150" s="254">
        <f>I150+J150</f>
        <v>11.84</v>
      </c>
      <c r="L150" s="266"/>
      <c r="M150" s="256">
        <f>IF(D150&gt;C150,C150-D150,0)</f>
        <v>0</v>
      </c>
      <c r="N150" s="257">
        <f>IF(D150&lt;C150,C150-D150,0)</f>
        <v>1</v>
      </c>
    </row>
    <row r="151" spans="1:14" s="199" customFormat="1" ht="12.75" customHeight="1" thickBot="1">
      <c r="A151" s="267" t="s">
        <v>140</v>
      </c>
      <c r="B151" s="268" t="s">
        <v>183</v>
      </c>
      <c r="C151" s="247">
        <v>339.5</v>
      </c>
      <c r="D151" s="248">
        <v>351</v>
      </c>
      <c r="E151" s="249">
        <f>IF(C151&lt;D151,C151,D151)</f>
        <v>339.5</v>
      </c>
      <c r="F151" s="263"/>
      <c r="G151" s="251">
        <f>E151+F151</f>
        <v>339.5</v>
      </c>
      <c r="H151" s="252">
        <v>5.6835051546391755</v>
      </c>
      <c r="I151" s="250">
        <f>E151*H151</f>
        <v>1929.5500000000002</v>
      </c>
      <c r="J151" s="269"/>
      <c r="K151" s="254">
        <f>I151+J151</f>
        <v>1929.5500000000002</v>
      </c>
      <c r="L151" s="270"/>
      <c r="M151" s="256">
        <f>IF(D151&gt;C151,C151-D151,0)</f>
        <v>-11.5</v>
      </c>
      <c r="N151" s="257">
        <f>IF(D151&lt;C151,C151-D151,0)</f>
        <v>0</v>
      </c>
    </row>
    <row r="152" spans="1:14" s="199" customFormat="1" ht="12.75" customHeight="1" thickBot="1">
      <c r="A152" s="271" t="s">
        <v>140</v>
      </c>
      <c r="B152" s="272" t="s">
        <v>144</v>
      </c>
      <c r="C152" s="273">
        <f>SUM(C147:C151)</f>
        <v>438.5</v>
      </c>
      <c r="D152" s="274">
        <f>SUM(D147:D151)</f>
        <v>446</v>
      </c>
      <c r="E152" s="274">
        <f>SUM(E147:E151)</f>
        <v>434.5</v>
      </c>
      <c r="F152" s="275">
        <f>SUM(F147:F151)</f>
        <v>0</v>
      </c>
      <c r="G152" s="276">
        <f>SUM(G147:G151)</f>
        <v>434.5</v>
      </c>
      <c r="H152" s="275"/>
      <c r="I152" s="275">
        <f>SUM(I147:I151)</f>
        <v>2434.19</v>
      </c>
      <c r="J152" s="275">
        <f>SUM(J147:J151)</f>
        <v>0</v>
      </c>
      <c r="K152" s="277">
        <f>SUM(K147:K151)</f>
        <v>2434.19</v>
      </c>
      <c r="L152" s="278">
        <f>ROUND(K152*$N$186/$K$176,0)</f>
        <v>59485</v>
      </c>
      <c r="M152" s="279">
        <f>SUM(M147:M151)</f>
        <v>-11.5</v>
      </c>
      <c r="N152" s="280">
        <f>SUM(N147:N151)</f>
        <v>4</v>
      </c>
    </row>
    <row r="153" spans="1:14" s="199" customFormat="1" ht="12.75" customHeight="1">
      <c r="A153" s="285" t="s">
        <v>208</v>
      </c>
      <c r="B153" s="246" t="s">
        <v>179</v>
      </c>
      <c r="C153" s="247">
        <v>156.5</v>
      </c>
      <c r="D153" s="248">
        <v>141</v>
      </c>
      <c r="E153" s="249">
        <f>IF(C153&gt;=0.9*D153,D153,C153+0.1*D153)</f>
        <v>141</v>
      </c>
      <c r="F153" s="250"/>
      <c r="G153" s="251">
        <f>E153+F153</f>
        <v>141</v>
      </c>
      <c r="H153" s="252">
        <v>5.9</v>
      </c>
      <c r="I153" s="250">
        <f>E153*H153</f>
        <v>831.9000000000001</v>
      </c>
      <c r="J153" s="253"/>
      <c r="K153" s="254">
        <f>I153+J153</f>
        <v>831.9000000000001</v>
      </c>
      <c r="L153" s="255"/>
      <c r="M153" s="256">
        <f>IF(D153&gt;C153,C153-D153,0)</f>
        <v>0</v>
      </c>
      <c r="N153" s="257">
        <f>IF(D153&lt;C153,C153-D153,0)</f>
        <v>15.5</v>
      </c>
    </row>
    <row r="154" spans="1:14" s="199" customFormat="1" ht="12.75" customHeight="1">
      <c r="A154" s="245" t="s">
        <v>208</v>
      </c>
      <c r="B154" s="246" t="s">
        <v>180</v>
      </c>
      <c r="C154" s="247">
        <v>32</v>
      </c>
      <c r="D154" s="248">
        <v>34</v>
      </c>
      <c r="E154" s="249">
        <f>IF(C154&gt;=0.9*D154,D154,C154+0.1*D154)</f>
        <v>34</v>
      </c>
      <c r="F154" s="250"/>
      <c r="G154" s="251">
        <f>E154+F154</f>
        <v>34</v>
      </c>
      <c r="H154" s="252">
        <v>5.9</v>
      </c>
      <c r="I154" s="250">
        <f>E154*H154</f>
        <v>200.60000000000002</v>
      </c>
      <c r="J154" s="253"/>
      <c r="K154" s="254">
        <f>I154+J154</f>
        <v>200.60000000000002</v>
      </c>
      <c r="L154" s="255"/>
      <c r="M154" s="256">
        <f>IF(D154&gt;C154,C154-D154,0)</f>
        <v>-2</v>
      </c>
      <c r="N154" s="257">
        <f>IF(D154&lt;C154,C154-D154,0)</f>
        <v>0</v>
      </c>
    </row>
    <row r="155" spans="1:14" s="199" customFormat="1" ht="12.75" customHeight="1">
      <c r="A155" s="245" t="s">
        <v>208</v>
      </c>
      <c r="B155" s="246" t="s">
        <v>181</v>
      </c>
      <c r="C155" s="247">
        <v>72</v>
      </c>
      <c r="D155" s="248">
        <v>76</v>
      </c>
      <c r="E155" s="249">
        <f>IF(C155&gt;=0.9*D155,D155,C155+0.1*D155)</f>
        <v>76</v>
      </c>
      <c r="F155" s="250"/>
      <c r="G155" s="251">
        <f>E155+F155</f>
        <v>76</v>
      </c>
      <c r="H155" s="252">
        <v>5.9</v>
      </c>
      <c r="I155" s="250">
        <f>E155*H155</f>
        <v>448.40000000000003</v>
      </c>
      <c r="J155" s="253"/>
      <c r="K155" s="254">
        <f>I155+J155</f>
        <v>448.40000000000003</v>
      </c>
      <c r="L155" s="255"/>
      <c r="M155" s="256">
        <f>IF(D155&gt;C155,C155-D155,0)</f>
        <v>-4</v>
      </c>
      <c r="N155" s="257">
        <f>IF(D155&lt;C155,C155-D155,0)</f>
        <v>0</v>
      </c>
    </row>
    <row r="156" spans="1:14" ht="12.75" customHeight="1">
      <c r="A156" s="259" t="s">
        <v>208</v>
      </c>
      <c r="B156" s="260" t="s">
        <v>182</v>
      </c>
      <c r="C156" s="261">
        <v>11</v>
      </c>
      <c r="D156" s="262">
        <v>10</v>
      </c>
      <c r="E156" s="249">
        <f>IF(C156&gt;=0.9*D156,D156,C156+0.1*D156)</f>
        <v>10</v>
      </c>
      <c r="F156" s="263"/>
      <c r="G156" s="251">
        <f>E156+F156</f>
        <v>10</v>
      </c>
      <c r="H156" s="264">
        <v>5.9</v>
      </c>
      <c r="I156" s="250">
        <f>E156*H156</f>
        <v>59</v>
      </c>
      <c r="J156" s="265"/>
      <c r="K156" s="254">
        <f>I156+J156</f>
        <v>59</v>
      </c>
      <c r="L156" s="266"/>
      <c r="M156" s="256">
        <f>IF(D156&gt;C156,C156-D156,0)</f>
        <v>0</v>
      </c>
      <c r="N156" s="257">
        <f>IF(D156&lt;C156,C156-D156,0)</f>
        <v>1</v>
      </c>
    </row>
    <row r="157" spans="1:14" s="199" customFormat="1" ht="12.75" customHeight="1" thickBot="1">
      <c r="A157" s="267" t="s">
        <v>208</v>
      </c>
      <c r="B157" s="268" t="s">
        <v>183</v>
      </c>
      <c r="C157" s="247">
        <v>422</v>
      </c>
      <c r="D157" s="248">
        <v>441</v>
      </c>
      <c r="E157" s="249">
        <f>IF(C157&lt;D157,C157,D157)</f>
        <v>422</v>
      </c>
      <c r="F157" s="263"/>
      <c r="G157" s="251">
        <f>E157+F157</f>
        <v>422</v>
      </c>
      <c r="H157" s="252">
        <v>5.8999999999999995</v>
      </c>
      <c r="I157" s="250">
        <f>E157*H157</f>
        <v>2489.7999999999997</v>
      </c>
      <c r="J157" s="269"/>
      <c r="K157" s="254">
        <f>I157+J157</f>
        <v>2489.7999999999997</v>
      </c>
      <c r="L157" s="270"/>
      <c r="M157" s="256">
        <f>IF(D157&gt;C157,C157-D157,0)</f>
        <v>-19</v>
      </c>
      <c r="N157" s="257">
        <f>IF(D157&lt;C157,C157-D157,0)</f>
        <v>0</v>
      </c>
    </row>
    <row r="158" spans="1:14" s="199" customFormat="1" ht="12.75" customHeight="1" thickBot="1">
      <c r="A158" s="271" t="s">
        <v>208</v>
      </c>
      <c r="B158" s="272" t="s">
        <v>144</v>
      </c>
      <c r="C158" s="273">
        <f>SUM(C153:C157)</f>
        <v>693.5</v>
      </c>
      <c r="D158" s="274">
        <f>SUM(D153:D157)</f>
        <v>702</v>
      </c>
      <c r="E158" s="274">
        <f>SUM(E153:E157)</f>
        <v>683</v>
      </c>
      <c r="F158" s="275">
        <f>SUM(F153:F157)</f>
        <v>0</v>
      </c>
      <c r="G158" s="276">
        <f>SUM(G153:G157)</f>
        <v>683</v>
      </c>
      <c r="H158" s="275"/>
      <c r="I158" s="275">
        <f>SUM(I153:I157)</f>
        <v>4029.7</v>
      </c>
      <c r="J158" s="275">
        <f>SUM(J153:J157)</f>
        <v>0</v>
      </c>
      <c r="K158" s="277">
        <f>SUM(K153:K157)</f>
        <v>4029.7</v>
      </c>
      <c r="L158" s="278">
        <f>ROUND(K158*$N$186/$K$176,0)</f>
        <v>98475</v>
      </c>
      <c r="M158" s="279">
        <f>SUM(M153:M157)</f>
        <v>-25</v>
      </c>
      <c r="N158" s="280">
        <f>SUM(N153:N157)</f>
        <v>16.5</v>
      </c>
    </row>
    <row r="159" spans="1:14" s="199" customFormat="1" ht="12.75" customHeight="1">
      <c r="A159" s="285" t="s">
        <v>209</v>
      </c>
      <c r="B159" s="246" t="s">
        <v>179</v>
      </c>
      <c r="C159" s="247">
        <v>1257.5</v>
      </c>
      <c r="D159" s="248">
        <v>1353.2334562479025</v>
      </c>
      <c r="E159" s="249">
        <f>IF(C159&gt;=0.9*D159,D159,C159+0.1*D159)</f>
        <v>1353.2334562479025</v>
      </c>
      <c r="F159" s="250"/>
      <c r="G159" s="251">
        <f>E159+F159</f>
        <v>1353.2334562479025</v>
      </c>
      <c r="H159" s="252">
        <v>1.166958250497018</v>
      </c>
      <c r="I159" s="250">
        <f>E159*H159</f>
        <v>1579.1669466170852</v>
      </c>
      <c r="J159" s="253"/>
      <c r="K159" s="254">
        <f>I159+J159</f>
        <v>1579.1669466170852</v>
      </c>
      <c r="L159" s="255"/>
      <c r="M159" s="256">
        <f>IF(D159&gt;C159,C159-D159,0)</f>
        <v>-95.7334562479025</v>
      </c>
      <c r="N159" s="257">
        <f>IF(D159&lt;C159,C159-D159,0)</f>
        <v>0</v>
      </c>
    </row>
    <row r="160" spans="1:14" s="199" customFormat="1" ht="12.75" customHeight="1">
      <c r="A160" s="245" t="s">
        <v>209</v>
      </c>
      <c r="B160" s="246" t="s">
        <v>180</v>
      </c>
      <c r="C160" s="247">
        <v>0</v>
      </c>
      <c r="D160" s="248">
        <v>0</v>
      </c>
      <c r="E160" s="249">
        <f>IF(C160&gt;=0.9*D160,D160,C160+0.1*D160)</f>
        <v>0</v>
      </c>
      <c r="F160" s="250"/>
      <c r="G160" s="251">
        <f>E160+F160</f>
        <v>0</v>
      </c>
      <c r="H160" s="252"/>
      <c r="I160" s="250">
        <f>E160*H160</f>
        <v>0</v>
      </c>
      <c r="J160" s="253"/>
      <c r="K160" s="254">
        <f>I160+J160</f>
        <v>0</v>
      </c>
      <c r="L160" s="255"/>
      <c r="M160" s="256">
        <f>IF(D160&gt;C160,C160-D160,0)</f>
        <v>0</v>
      </c>
      <c r="N160" s="257">
        <f>IF(D160&lt;C160,C160-D160,0)</f>
        <v>0</v>
      </c>
    </row>
    <row r="161" spans="1:14" s="199" customFormat="1" ht="12.75" customHeight="1">
      <c r="A161" s="245" t="s">
        <v>209</v>
      </c>
      <c r="B161" s="246" t="s">
        <v>181</v>
      </c>
      <c r="C161" s="247">
        <v>0</v>
      </c>
      <c r="D161" s="248">
        <v>0</v>
      </c>
      <c r="E161" s="249">
        <f>IF(C161&gt;=0.9*D161,D161,C161+0.1*D161)</f>
        <v>0</v>
      </c>
      <c r="F161" s="250"/>
      <c r="G161" s="251">
        <f>E161+F161</f>
        <v>0</v>
      </c>
      <c r="H161" s="252"/>
      <c r="I161" s="250">
        <f>E161*H161</f>
        <v>0</v>
      </c>
      <c r="J161" s="253"/>
      <c r="K161" s="254">
        <f>I161+J161</f>
        <v>0</v>
      </c>
      <c r="L161" s="255"/>
      <c r="M161" s="256">
        <f>IF(D161&gt;C161,C161-D161,0)</f>
        <v>0</v>
      </c>
      <c r="N161" s="257">
        <f>IF(D161&lt;C161,C161-D161,0)</f>
        <v>0</v>
      </c>
    </row>
    <row r="162" spans="1:14" ht="12.75" customHeight="1">
      <c r="A162" s="259" t="s">
        <v>142</v>
      </c>
      <c r="B162" s="260" t="s">
        <v>182</v>
      </c>
      <c r="C162" s="261">
        <v>0</v>
      </c>
      <c r="D162" s="262">
        <v>0.2274741532869939</v>
      </c>
      <c r="E162" s="249">
        <f>IF(C162&gt;=0.9*D162,D162,C162+0.1*D162)</f>
        <v>0.022747415328699394</v>
      </c>
      <c r="F162" s="263"/>
      <c r="G162" s="251">
        <f>E162+F162</f>
        <v>0.022747415328699394</v>
      </c>
      <c r="H162" s="264"/>
      <c r="I162" s="250">
        <f>E162*H162</f>
        <v>0</v>
      </c>
      <c r="J162" s="265"/>
      <c r="K162" s="254">
        <f>I162+J162</f>
        <v>0</v>
      </c>
      <c r="L162" s="266"/>
      <c r="M162" s="256">
        <f>IF(D162&gt;C162,C162-D162,0)</f>
        <v>-0.2274741532869939</v>
      </c>
      <c r="N162" s="257">
        <f>IF(D162&lt;C162,C162-D162,0)</f>
        <v>0</v>
      </c>
    </row>
    <row r="163" spans="1:14" s="199" customFormat="1" ht="12.75" customHeight="1" thickBot="1">
      <c r="A163" s="267" t="s">
        <v>210</v>
      </c>
      <c r="B163" s="268" t="s">
        <v>183</v>
      </c>
      <c r="C163" s="247">
        <v>1763.5</v>
      </c>
      <c r="D163" s="248">
        <v>1868.4365720567073</v>
      </c>
      <c r="E163" s="249">
        <f>IF(C163&lt;D163,C163,D163)</f>
        <v>1763.5</v>
      </c>
      <c r="F163" s="263"/>
      <c r="G163" s="251">
        <f>E163+F163</f>
        <v>1763.5</v>
      </c>
      <c r="H163" s="252">
        <v>1.1046781967677912</v>
      </c>
      <c r="I163" s="250">
        <f>E163*H163</f>
        <v>1948.1</v>
      </c>
      <c r="J163" s="269"/>
      <c r="K163" s="254">
        <f>I163+J163</f>
        <v>1948.1</v>
      </c>
      <c r="L163" s="270"/>
      <c r="M163" s="256">
        <f>IF(D163&gt;C163,C163-D163,0)</f>
        <v>-104.93657205670729</v>
      </c>
      <c r="N163" s="257">
        <f>IF(D163&lt;C163,C163-D163,0)</f>
        <v>0</v>
      </c>
    </row>
    <row r="164" spans="1:14" s="199" customFormat="1" ht="12.75" customHeight="1" thickBot="1">
      <c r="A164" s="271" t="s">
        <v>210</v>
      </c>
      <c r="B164" s="272" t="s">
        <v>144</v>
      </c>
      <c r="C164" s="273">
        <f>SUM(C159:C163)</f>
        <v>3021</v>
      </c>
      <c r="D164" s="274">
        <f>SUM(D159:D163)</f>
        <v>3221.8975024578967</v>
      </c>
      <c r="E164" s="274">
        <f>SUM(E159:E163)</f>
        <v>3116.756203663231</v>
      </c>
      <c r="F164" s="275">
        <f>SUM(F159:F163)</f>
        <v>0</v>
      </c>
      <c r="G164" s="276">
        <f>SUM(G159:G163)</f>
        <v>3116.756203663231</v>
      </c>
      <c r="H164" s="275"/>
      <c r="I164" s="275">
        <f>SUM(I159:I163)</f>
        <v>3527.266946617085</v>
      </c>
      <c r="J164" s="275">
        <f>SUM(J159:J163)</f>
        <v>0</v>
      </c>
      <c r="K164" s="277">
        <f>SUM(K159:K163)</f>
        <v>3527.266946617085</v>
      </c>
      <c r="L164" s="278">
        <f>ROUND(K164*$N$186/$K$176,0)</f>
        <v>86196</v>
      </c>
      <c r="M164" s="279">
        <f>SUM(M159:M163)</f>
        <v>-200.8975024578968</v>
      </c>
      <c r="N164" s="280">
        <f>SUM(N159:N163)</f>
        <v>0</v>
      </c>
    </row>
    <row r="165" spans="1:14" s="199" customFormat="1" ht="12.75" customHeight="1">
      <c r="A165" s="285" t="s">
        <v>211</v>
      </c>
      <c r="B165" s="246" t="s">
        <v>179</v>
      </c>
      <c r="C165" s="247">
        <v>1624</v>
      </c>
      <c r="D165" s="248">
        <v>1510</v>
      </c>
      <c r="E165" s="249">
        <f>IF(C165&gt;=0.9*D165,D165,C165+0.1*D165)</f>
        <v>1510</v>
      </c>
      <c r="F165" s="250"/>
      <c r="G165" s="251">
        <f>E165+F165</f>
        <v>1510</v>
      </c>
      <c r="H165" s="252">
        <v>1.2135344827586207</v>
      </c>
      <c r="I165" s="250">
        <f>E165*H165</f>
        <v>1832.4370689655173</v>
      </c>
      <c r="J165" s="253"/>
      <c r="K165" s="254">
        <f>I165+J165</f>
        <v>1832.4370689655173</v>
      </c>
      <c r="L165" s="255"/>
      <c r="M165" s="256">
        <f>IF(D165&gt;C165,C165-D165,0)</f>
        <v>0</v>
      </c>
      <c r="N165" s="257">
        <f>IF(D165&lt;C165,C165-D165,0)</f>
        <v>114</v>
      </c>
    </row>
    <row r="166" spans="1:14" s="199" customFormat="1" ht="12.75" customHeight="1">
      <c r="A166" s="245" t="s">
        <v>211</v>
      </c>
      <c r="B166" s="246" t="s">
        <v>180</v>
      </c>
      <c r="C166" s="247">
        <v>0</v>
      </c>
      <c r="D166" s="248">
        <v>0</v>
      </c>
      <c r="E166" s="249">
        <f>IF(C166&gt;=0.9*D166,D166,C166+0.1*D166)</f>
        <v>0</v>
      </c>
      <c r="F166" s="250"/>
      <c r="G166" s="251">
        <f>E166+F166</f>
        <v>0</v>
      </c>
      <c r="H166" s="252"/>
      <c r="I166" s="250">
        <f>E166*H166</f>
        <v>0</v>
      </c>
      <c r="J166" s="253"/>
      <c r="K166" s="254">
        <f>I166+J166</f>
        <v>0</v>
      </c>
      <c r="L166" s="255"/>
      <c r="M166" s="256">
        <f>IF(D166&gt;C166,C166-D166,0)</f>
        <v>0</v>
      </c>
      <c r="N166" s="257">
        <f>IF(D166&lt;C166,C166-D166,0)</f>
        <v>0</v>
      </c>
    </row>
    <row r="167" spans="1:14" s="199" customFormat="1" ht="12.75" customHeight="1">
      <c r="A167" s="245" t="s">
        <v>211</v>
      </c>
      <c r="B167" s="246" t="s">
        <v>181</v>
      </c>
      <c r="C167" s="247">
        <v>0</v>
      </c>
      <c r="D167" s="248">
        <v>0</v>
      </c>
      <c r="E167" s="249">
        <f>IF(C167&gt;=0.9*D167,D167,C167+0.1*D167)</f>
        <v>0</v>
      </c>
      <c r="F167" s="250"/>
      <c r="G167" s="251">
        <f>E167+F167</f>
        <v>0</v>
      </c>
      <c r="H167" s="252"/>
      <c r="I167" s="250">
        <f>E167*H167</f>
        <v>0</v>
      </c>
      <c r="J167" s="253"/>
      <c r="K167" s="254">
        <f>I167+J167</f>
        <v>0</v>
      </c>
      <c r="L167" s="255"/>
      <c r="M167" s="256">
        <f>IF(D167&gt;C167,C167-D167,0)</f>
        <v>0</v>
      </c>
      <c r="N167" s="257">
        <f>IF(D167&lt;C167,C167-D167,0)</f>
        <v>0</v>
      </c>
    </row>
    <row r="168" spans="1:14" ht="12.75" customHeight="1">
      <c r="A168" s="259" t="s">
        <v>212</v>
      </c>
      <c r="B168" s="260" t="s">
        <v>182</v>
      </c>
      <c r="C168" s="261">
        <v>0</v>
      </c>
      <c r="D168" s="262">
        <v>0</v>
      </c>
      <c r="E168" s="249">
        <f>IF(C168&gt;=0.9*D168,D168,C168+0.1*D168)</f>
        <v>0</v>
      </c>
      <c r="F168" s="263"/>
      <c r="G168" s="251">
        <f>E168+F168</f>
        <v>0</v>
      </c>
      <c r="H168" s="264"/>
      <c r="I168" s="250">
        <f>E168*H168</f>
        <v>0</v>
      </c>
      <c r="J168" s="265"/>
      <c r="K168" s="254">
        <f>I168+J168</f>
        <v>0</v>
      </c>
      <c r="L168" s="266"/>
      <c r="M168" s="256">
        <f>IF(D168&gt;C168,C168-D168,0)</f>
        <v>0</v>
      </c>
      <c r="N168" s="257">
        <f>IF(D168&lt;C168,C168-D168,0)</f>
        <v>0</v>
      </c>
    </row>
    <row r="169" spans="1:14" s="199" customFormat="1" ht="12.75" customHeight="1" thickBot="1">
      <c r="A169" s="267" t="s">
        <v>213</v>
      </c>
      <c r="B169" s="268" t="s">
        <v>183</v>
      </c>
      <c r="C169" s="247">
        <v>1354.5</v>
      </c>
      <c r="D169" s="248">
        <v>1535</v>
      </c>
      <c r="E169" s="249">
        <f>IF(C169&lt;D169,C169,D169)</f>
        <v>1354.5</v>
      </c>
      <c r="F169" s="263"/>
      <c r="G169" s="251">
        <f>E169+F169</f>
        <v>1354.5</v>
      </c>
      <c r="H169" s="252">
        <v>1.2209892949427832</v>
      </c>
      <c r="I169" s="250">
        <f>E169*H169</f>
        <v>1653.83</v>
      </c>
      <c r="J169" s="269"/>
      <c r="K169" s="254">
        <f>I169+J169</f>
        <v>1653.83</v>
      </c>
      <c r="L169" s="270"/>
      <c r="M169" s="256">
        <f>IF(D169&gt;C169,C169-D169,0)</f>
        <v>-180.5</v>
      </c>
      <c r="N169" s="257">
        <f>IF(D169&lt;C169,C169-D169,0)</f>
        <v>0</v>
      </c>
    </row>
    <row r="170" spans="1:14" s="199" customFormat="1" ht="12.75" customHeight="1" thickBot="1">
      <c r="A170" s="271" t="s">
        <v>213</v>
      </c>
      <c r="B170" s="272" t="s">
        <v>144</v>
      </c>
      <c r="C170" s="273">
        <f>SUM(C165:C169)</f>
        <v>2978.5</v>
      </c>
      <c r="D170" s="290">
        <f>SUM(D165:D169)</f>
        <v>3045</v>
      </c>
      <c r="E170" s="291">
        <f>SUM(E165:E169)</f>
        <v>2864.5</v>
      </c>
      <c r="F170" s="276">
        <f>SUM(F165:F169)</f>
        <v>0</v>
      </c>
      <c r="G170" s="276">
        <f>SUM(G165:G169)</f>
        <v>2864.5</v>
      </c>
      <c r="H170" s="275"/>
      <c r="I170" s="275">
        <f>SUM(I165:I169)</f>
        <v>3486.267068965517</v>
      </c>
      <c r="J170" s="275">
        <f>SUM(J165:J169)</f>
        <v>0</v>
      </c>
      <c r="K170" s="277">
        <f>SUM(K165:K169)</f>
        <v>3486.267068965517</v>
      </c>
      <c r="L170" s="278">
        <f>ROUND(K170*$N$186/$K$176,0)</f>
        <v>85195</v>
      </c>
      <c r="M170" s="279">
        <f>SUM(M165:M169)</f>
        <v>-180.5</v>
      </c>
      <c r="N170" s="280">
        <f>SUM(N165:N169)</f>
        <v>114</v>
      </c>
    </row>
    <row r="171" spans="1:14" s="199" customFormat="1" ht="12.75" customHeight="1" thickBot="1">
      <c r="A171" s="292" t="s">
        <v>214</v>
      </c>
      <c r="B171" s="293" t="s">
        <v>179</v>
      </c>
      <c r="C171" s="294">
        <f aca="true" t="shared" si="0" ref="C171:G176">C15+C21+C27+C33+C39+C45+C51+C57+C63+C69+C75+C81+C87+C93+C99+C105+C111+C117+C123+C129+C135+C141+C147+C153+C159+C165</f>
        <v>86243</v>
      </c>
      <c r="D171" s="295">
        <f t="shared" si="0"/>
        <v>84953.065203019</v>
      </c>
      <c r="E171" s="296">
        <f t="shared" si="0"/>
        <v>84949.02284280639</v>
      </c>
      <c r="F171" s="297">
        <f t="shared" si="0"/>
        <v>0</v>
      </c>
      <c r="G171" s="298">
        <f t="shared" si="0"/>
        <v>84949.02284280639</v>
      </c>
      <c r="H171" s="298"/>
      <c r="I171" s="299">
        <f aca="true" t="shared" si="1" ref="I171:N176">I15+I21+I27+I33+I39+I45+I51+I57+I63+I69+I75+I81+I87+I93+I99+I105+I111+I117+I123+I129+I135+I141+I147+I153+I159+I165</f>
        <v>131227.0473459932</v>
      </c>
      <c r="J171" s="299">
        <f t="shared" si="1"/>
        <v>0</v>
      </c>
      <c r="K171" s="300">
        <f t="shared" si="1"/>
        <v>131227.0473459932</v>
      </c>
      <c r="L171" s="301">
        <f t="shared" si="1"/>
        <v>0</v>
      </c>
      <c r="M171" s="302">
        <f t="shared" si="1"/>
        <v>-1686.5749157129742</v>
      </c>
      <c r="N171" s="303">
        <f t="shared" si="1"/>
        <v>2976.5097126939922</v>
      </c>
    </row>
    <row r="172" spans="1:14" s="199" customFormat="1" ht="12.75" customHeight="1" thickBot="1" thickTop="1">
      <c r="A172" s="304" t="s">
        <v>214</v>
      </c>
      <c r="B172" s="305" t="s">
        <v>180</v>
      </c>
      <c r="C172" s="306">
        <f t="shared" si="0"/>
        <v>6447.5</v>
      </c>
      <c r="D172" s="307">
        <f t="shared" si="0"/>
        <v>6463.402642205968</v>
      </c>
      <c r="E172" s="308">
        <f t="shared" si="0"/>
        <v>6393.880192704966</v>
      </c>
      <c r="F172" s="309">
        <f t="shared" si="0"/>
        <v>338</v>
      </c>
      <c r="G172" s="310">
        <f t="shared" si="0"/>
        <v>6731.880192704966</v>
      </c>
      <c r="H172" s="310"/>
      <c r="I172" s="310">
        <f t="shared" si="1"/>
        <v>12252.171829222158</v>
      </c>
      <c r="J172" s="310">
        <f t="shared" si="1"/>
        <v>1183</v>
      </c>
      <c r="K172" s="311">
        <f t="shared" si="1"/>
        <v>13435.171829222161</v>
      </c>
      <c r="L172" s="312">
        <f t="shared" si="1"/>
        <v>0</v>
      </c>
      <c r="M172" s="313">
        <f t="shared" si="1"/>
        <v>-177.47224392030387</v>
      </c>
      <c r="N172" s="314">
        <f t="shared" si="1"/>
        <v>161.5696017143352</v>
      </c>
    </row>
    <row r="173" spans="1:14" s="199" customFormat="1" ht="12.75" customHeight="1" thickBot="1" thickTop="1">
      <c r="A173" s="304" t="s">
        <v>214</v>
      </c>
      <c r="B173" s="305" t="s">
        <v>181</v>
      </c>
      <c r="C173" s="306">
        <f t="shared" si="0"/>
        <v>37039.5</v>
      </c>
      <c r="D173" s="307">
        <f t="shared" si="0"/>
        <v>33843.41255811892</v>
      </c>
      <c r="E173" s="308">
        <f t="shared" si="0"/>
        <v>33728.18527730496</v>
      </c>
      <c r="F173" s="309">
        <f t="shared" si="0"/>
        <v>0</v>
      </c>
      <c r="G173" s="310">
        <f t="shared" si="0"/>
        <v>33728.18527730496</v>
      </c>
      <c r="H173" s="310"/>
      <c r="I173" s="310">
        <f t="shared" si="1"/>
        <v>50818.436315646584</v>
      </c>
      <c r="J173" s="310">
        <f t="shared" si="1"/>
        <v>0</v>
      </c>
      <c r="K173" s="311">
        <f t="shared" si="1"/>
        <v>50818.436315646584</v>
      </c>
      <c r="L173" s="312">
        <f t="shared" si="1"/>
        <v>0</v>
      </c>
      <c r="M173" s="313">
        <f t="shared" si="1"/>
        <v>-558.7376752490923</v>
      </c>
      <c r="N173" s="314">
        <f t="shared" si="1"/>
        <v>3754.8251171301654</v>
      </c>
    </row>
    <row r="174" spans="1:14" s="199" customFormat="1" ht="12.75" customHeight="1" thickBot="1" thickTop="1">
      <c r="A174" s="304" t="s">
        <v>214</v>
      </c>
      <c r="B174" s="305" t="s">
        <v>182</v>
      </c>
      <c r="C174" s="306">
        <f t="shared" si="0"/>
        <v>5213.5</v>
      </c>
      <c r="D174" s="307">
        <f t="shared" si="0"/>
        <v>5667.9572938634465</v>
      </c>
      <c r="E174" s="308">
        <f t="shared" si="0"/>
        <v>5569.554901655553</v>
      </c>
      <c r="F174" s="309">
        <f t="shared" si="0"/>
        <v>4</v>
      </c>
      <c r="G174" s="310">
        <f t="shared" si="0"/>
        <v>5573.554901655553</v>
      </c>
      <c r="H174" s="310"/>
      <c r="I174" s="310">
        <f t="shared" si="1"/>
        <v>10158.040348087154</v>
      </c>
      <c r="J174" s="310">
        <f t="shared" si="1"/>
        <v>11.2</v>
      </c>
      <c r="K174" s="311">
        <f t="shared" si="1"/>
        <v>10169.240348087154</v>
      </c>
      <c r="L174" s="312">
        <f t="shared" si="1"/>
        <v>0</v>
      </c>
      <c r="M174" s="313">
        <f t="shared" si="1"/>
        <v>-503.4346414639603</v>
      </c>
      <c r="N174" s="314">
        <f t="shared" si="1"/>
        <v>48.97734760051384</v>
      </c>
    </row>
    <row r="175" spans="1:14" s="199" customFormat="1" ht="12.75" customHeight="1" thickBot="1" thickTop="1">
      <c r="A175" s="304" t="s">
        <v>214</v>
      </c>
      <c r="B175" s="305" t="s">
        <v>183</v>
      </c>
      <c r="C175" s="306">
        <f t="shared" si="0"/>
        <v>195233.5</v>
      </c>
      <c r="D175" s="307">
        <f t="shared" si="0"/>
        <v>187709.01344607526</v>
      </c>
      <c r="E175" s="308">
        <f t="shared" si="0"/>
        <v>187002.80261685842</v>
      </c>
      <c r="F175" s="309">
        <f t="shared" si="0"/>
        <v>1205.5</v>
      </c>
      <c r="G175" s="310">
        <f t="shared" si="0"/>
        <v>188208.30261685842</v>
      </c>
      <c r="H175" s="310"/>
      <c r="I175" s="310">
        <f t="shared" si="1"/>
        <v>296858.4378797687</v>
      </c>
      <c r="J175" s="310">
        <f t="shared" si="1"/>
        <v>4202.45</v>
      </c>
      <c r="K175" s="311">
        <f t="shared" si="1"/>
        <v>301060.8878797687</v>
      </c>
      <c r="L175" s="312">
        <f t="shared" si="1"/>
        <v>0</v>
      </c>
      <c r="M175" s="313">
        <f t="shared" si="1"/>
        <v>-706.2108292168866</v>
      </c>
      <c r="N175" s="314">
        <f t="shared" si="1"/>
        <v>8230.69738314159</v>
      </c>
    </row>
    <row r="176" spans="1:14" s="199" customFormat="1" ht="12.75" customHeight="1" thickBot="1" thickTop="1">
      <c r="A176" s="304" t="s">
        <v>214</v>
      </c>
      <c r="B176" s="305" t="s">
        <v>144</v>
      </c>
      <c r="C176" s="315">
        <f t="shared" si="0"/>
        <v>330177</v>
      </c>
      <c r="D176" s="316">
        <f t="shared" si="0"/>
        <v>318636.85114328266</v>
      </c>
      <c r="E176" s="317">
        <f t="shared" si="0"/>
        <v>317643.44583133026</v>
      </c>
      <c r="F176" s="318">
        <f t="shared" si="0"/>
        <v>1547.5</v>
      </c>
      <c r="G176" s="319">
        <f t="shared" si="0"/>
        <v>319190.94583133026</v>
      </c>
      <c r="H176" s="319"/>
      <c r="I176" s="319">
        <f t="shared" si="1"/>
        <v>501314.1337187179</v>
      </c>
      <c r="J176" s="319">
        <f t="shared" si="1"/>
        <v>5396.65</v>
      </c>
      <c r="K176" s="320">
        <f t="shared" si="1"/>
        <v>506710.7837187178</v>
      </c>
      <c r="L176" s="321">
        <f t="shared" si="1"/>
        <v>12382584</v>
      </c>
      <c r="M176" s="322">
        <f t="shared" si="1"/>
        <v>-3632.4303055632163</v>
      </c>
      <c r="N176" s="323">
        <f t="shared" si="1"/>
        <v>15172.579162280594</v>
      </c>
    </row>
    <row r="177" spans="5:14" ht="12.75" customHeight="1" thickTop="1">
      <c r="E177" s="205"/>
      <c r="I177" s="324"/>
      <c r="J177" s="199"/>
      <c r="K177" s="199"/>
      <c r="L177" s="199"/>
      <c r="M177" s="199"/>
      <c r="N177" s="199"/>
    </row>
    <row r="178" spans="2:14" ht="12.75" customHeight="1">
      <c r="B178" s="199"/>
      <c r="C178" s="210"/>
      <c r="D178" s="199"/>
      <c r="E178" s="205"/>
      <c r="G178" s="205"/>
      <c r="J178" s="199"/>
      <c r="K178" s="199"/>
      <c r="L178" s="199"/>
      <c r="M178" s="199"/>
      <c r="N178" s="199"/>
    </row>
    <row r="179" spans="1:14" ht="30" customHeight="1">
      <c r="A179" s="325" t="s">
        <v>215</v>
      </c>
      <c r="B179" s="199"/>
      <c r="C179" s="210"/>
      <c r="D179" s="199"/>
      <c r="E179" s="205"/>
      <c r="F179" s="199"/>
      <c r="G179" s="199"/>
      <c r="H179" s="199"/>
      <c r="I179" s="324"/>
      <c r="J179" s="199"/>
      <c r="K179" s="199"/>
      <c r="L179" s="199"/>
      <c r="M179" s="199"/>
      <c r="N179" s="199"/>
    </row>
    <row r="180" spans="5:10" ht="12.75" customHeight="1">
      <c r="E180" s="205"/>
      <c r="F180" s="199"/>
      <c r="G180" s="199"/>
      <c r="H180" s="199"/>
      <c r="I180" s="324"/>
      <c r="J180" s="199"/>
    </row>
    <row r="181" spans="6:14" ht="12.75" customHeight="1">
      <c r="F181" s="199"/>
      <c r="G181" s="199"/>
      <c r="H181" s="199"/>
      <c r="I181" s="324"/>
      <c r="J181" s="199"/>
      <c r="K181" s="200"/>
      <c r="L181" s="224"/>
      <c r="M181" s="200"/>
      <c r="N181" s="199"/>
    </row>
    <row r="182" spans="1:14" ht="12.75" customHeight="1">
      <c r="A182" s="326" t="s">
        <v>216</v>
      </c>
      <c r="B182" s="327"/>
      <c r="C182" s="328"/>
      <c r="D182" s="329"/>
      <c r="E182" s="330">
        <f>C176+E183</f>
        <v>331724.5</v>
      </c>
      <c r="F182" s="199"/>
      <c r="G182" s="199"/>
      <c r="H182" s="199"/>
      <c r="I182" s="324"/>
      <c r="K182" s="331" t="s">
        <v>217</v>
      </c>
      <c r="L182" s="332"/>
      <c r="M182" s="333"/>
      <c r="N182" s="334">
        <f>K176</f>
        <v>506710.7837187178</v>
      </c>
    </row>
    <row r="183" spans="1:14" ht="12.75" customHeight="1">
      <c r="A183" s="326" t="s">
        <v>218</v>
      </c>
      <c r="B183" s="327"/>
      <c r="C183" s="328"/>
      <c r="D183" s="329"/>
      <c r="E183" s="335">
        <f>L221</f>
        <v>1547.5</v>
      </c>
      <c r="F183" s="199"/>
      <c r="G183" s="199"/>
      <c r="H183" s="199"/>
      <c r="I183" s="324"/>
      <c r="K183" s="331" t="s">
        <v>45</v>
      </c>
      <c r="L183" s="336"/>
      <c r="M183" s="337"/>
      <c r="N183" s="338">
        <f>N184/N182*1000</f>
        <v>24437.1827043526</v>
      </c>
    </row>
    <row r="184" spans="1:14" ht="12.75" customHeight="1">
      <c r="A184" s="326" t="s">
        <v>219</v>
      </c>
      <c r="B184" s="327"/>
      <c r="C184" s="328"/>
      <c r="D184" s="329"/>
      <c r="E184" s="330">
        <f>E176+E183</f>
        <v>319190.94583133026</v>
      </c>
      <c r="F184" s="199"/>
      <c r="G184" s="199"/>
      <c r="H184" s="199"/>
      <c r="I184" s="324"/>
      <c r="K184" s="246" t="s">
        <v>220</v>
      </c>
      <c r="L184" s="336"/>
      <c r="M184" s="337"/>
      <c r="N184" s="338">
        <f>L176</f>
        <v>12382584</v>
      </c>
    </row>
    <row r="185" spans="1:14" ht="12.75" customHeight="1">
      <c r="A185" s="339" t="s">
        <v>221</v>
      </c>
      <c r="B185" s="327"/>
      <c r="C185" s="328"/>
      <c r="D185" s="329"/>
      <c r="E185" s="340">
        <f>E184/315637-1</f>
        <v>0.011259598308595908</v>
      </c>
      <c r="F185" s="199"/>
      <c r="G185" s="199"/>
      <c r="H185" s="199"/>
      <c r="I185" s="324"/>
      <c r="K185" s="163"/>
      <c r="L185" s="163"/>
      <c r="M185" s="163"/>
      <c r="N185" s="341"/>
    </row>
    <row r="186" spans="1:14" ht="12.75" customHeight="1">
      <c r="A186" s="326" t="s">
        <v>222</v>
      </c>
      <c r="B186" s="327"/>
      <c r="C186" s="328"/>
      <c r="D186" s="329"/>
      <c r="E186" s="330">
        <f>K176</f>
        <v>506710.7837187178</v>
      </c>
      <c r="F186" s="199"/>
      <c r="G186" s="199"/>
      <c r="H186" s="199"/>
      <c r="I186" s="324"/>
      <c r="K186" s="246" t="s">
        <v>223</v>
      </c>
      <c r="L186" s="336"/>
      <c r="M186" s="337"/>
      <c r="N186" s="342">
        <f>'[1]Tab.1_Bilance'!L16</f>
        <v>12382584</v>
      </c>
    </row>
    <row r="187" spans="1:10" ht="12.75" customHeight="1">
      <c r="A187" s="326" t="s">
        <v>224</v>
      </c>
      <c r="B187" s="327"/>
      <c r="C187" s="328"/>
      <c r="D187" s="329"/>
      <c r="E187" s="343">
        <f>E186/E184</f>
        <v>1.5874848279264113</v>
      </c>
      <c r="F187" s="199"/>
      <c r="G187" s="324"/>
      <c r="H187" s="199"/>
      <c r="I187" s="324"/>
      <c r="J187" s="344"/>
    </row>
    <row r="188" spans="1:14" ht="12.75" customHeight="1">
      <c r="A188" s="326" t="s">
        <v>225</v>
      </c>
      <c r="B188" s="327"/>
      <c r="C188" s="328"/>
      <c r="D188" s="329"/>
      <c r="E188" s="330">
        <f>'[1]Tab.1_Bilance'!L19</f>
        <v>15478230</v>
      </c>
      <c r="F188" s="199"/>
      <c r="G188" s="199"/>
      <c r="H188" s="199"/>
      <c r="I188" s="324"/>
      <c r="J188" s="345"/>
      <c r="K188" s="344"/>
      <c r="M188" s="199"/>
      <c r="N188" s="199"/>
    </row>
    <row r="189" spans="1:14" ht="12.75" customHeight="1">
      <c r="A189" s="326" t="s">
        <v>226</v>
      </c>
      <c r="B189" s="327"/>
      <c r="C189" s="328"/>
      <c r="D189" s="329"/>
      <c r="E189" s="346">
        <f>E188*1000/E186</f>
        <v>30546.478380440745</v>
      </c>
      <c r="F189" s="199"/>
      <c r="G189" s="199"/>
      <c r="H189" s="199"/>
      <c r="I189" s="324"/>
      <c r="J189" s="199"/>
      <c r="K189" s="199"/>
      <c r="L189" s="199"/>
      <c r="M189" s="199"/>
      <c r="N189" s="199"/>
    </row>
    <row r="190" spans="5:14" ht="12.75" customHeight="1">
      <c r="E190" s="205">
        <f>E186*E189/1000</f>
        <v>15478230</v>
      </c>
      <c r="F190" s="199"/>
      <c r="G190" s="199"/>
      <c r="H190" s="199"/>
      <c r="I190" s="324"/>
      <c r="J190" s="199"/>
      <c r="K190" s="199"/>
      <c r="L190" s="199"/>
      <c r="M190" s="199"/>
      <c r="N190" s="199"/>
    </row>
    <row r="191" spans="10:14" ht="12.75" customHeight="1">
      <c r="J191" s="199"/>
      <c r="K191" s="199"/>
      <c r="L191" s="199"/>
      <c r="M191" s="199"/>
      <c r="N191" s="199"/>
    </row>
    <row r="192" spans="1:14" ht="12.75" customHeight="1">
      <c r="A192" s="347" t="s">
        <v>227</v>
      </c>
      <c r="C192" s="348"/>
      <c r="G192" s="205"/>
      <c r="H192" s="205"/>
      <c r="J192" s="205"/>
      <c r="K192" s="205"/>
      <c r="L192" s="349"/>
      <c r="M192" s="349"/>
      <c r="N192" s="349"/>
    </row>
    <row r="193" spans="3:14" ht="12.75" customHeight="1">
      <c r="C193" s="348"/>
      <c r="G193" s="205"/>
      <c r="H193" s="205"/>
      <c r="J193" s="205"/>
      <c r="K193" s="205"/>
      <c r="L193" s="350"/>
      <c r="M193" s="349"/>
      <c r="N193" s="350"/>
    </row>
    <row r="194" spans="1:14" ht="12.75" customHeight="1">
      <c r="A194" s="351" t="s">
        <v>107</v>
      </c>
      <c r="B194" s="351" t="s">
        <v>108</v>
      </c>
      <c r="C194" s="352" t="s">
        <v>228</v>
      </c>
      <c r="D194" s="351" t="s">
        <v>229</v>
      </c>
      <c r="E194" s="351" t="s">
        <v>165</v>
      </c>
      <c r="F194" s="351"/>
      <c r="G194" s="353" t="s">
        <v>230</v>
      </c>
      <c r="H194" s="353" t="s">
        <v>231</v>
      </c>
      <c r="I194" s="353" t="s">
        <v>232</v>
      </c>
      <c r="J194" s="353" t="s">
        <v>233</v>
      </c>
      <c r="K194" s="353" t="s">
        <v>144</v>
      </c>
      <c r="L194" s="354" t="s">
        <v>234</v>
      </c>
      <c r="M194" s="354"/>
      <c r="N194" s="354" t="s">
        <v>235</v>
      </c>
    </row>
    <row r="195" spans="1:14" ht="12.75" customHeight="1">
      <c r="A195" s="355"/>
      <c r="B195" s="355"/>
      <c r="C195" s="356"/>
      <c r="D195" s="355"/>
      <c r="E195" s="355"/>
      <c r="F195" s="355"/>
      <c r="G195" s="357"/>
      <c r="H195" s="357"/>
      <c r="I195" s="357"/>
      <c r="J195" s="357"/>
      <c r="K195" s="357"/>
      <c r="L195" s="358"/>
      <c r="M195" s="358"/>
      <c r="N195" s="358"/>
    </row>
    <row r="196" spans="1:14" ht="12.75" customHeight="1">
      <c r="A196" s="359">
        <v>11000</v>
      </c>
      <c r="B196" s="359" t="s">
        <v>236</v>
      </c>
      <c r="C196" s="360">
        <v>11110</v>
      </c>
      <c r="D196" s="359" t="s">
        <v>237</v>
      </c>
      <c r="E196" s="359" t="s">
        <v>154</v>
      </c>
      <c r="F196" s="359"/>
      <c r="G196" s="359">
        <v>40</v>
      </c>
      <c r="H196" s="359">
        <v>0</v>
      </c>
      <c r="I196" s="361">
        <v>37</v>
      </c>
      <c r="J196" s="359">
        <v>0</v>
      </c>
      <c r="K196" s="359">
        <v>77</v>
      </c>
      <c r="L196" s="362">
        <v>77</v>
      </c>
      <c r="M196" s="362"/>
      <c r="N196" s="362">
        <v>269.5</v>
      </c>
    </row>
    <row r="197" spans="1:14" ht="12.75" customHeight="1">
      <c r="A197" s="359">
        <v>11000</v>
      </c>
      <c r="B197" s="359" t="s">
        <v>236</v>
      </c>
      <c r="C197" s="360">
        <v>11110</v>
      </c>
      <c r="D197" s="359" t="s">
        <v>237</v>
      </c>
      <c r="E197" s="359" t="s">
        <v>161</v>
      </c>
      <c r="F197" s="359"/>
      <c r="G197" s="359">
        <v>0</v>
      </c>
      <c r="H197" s="359">
        <v>6</v>
      </c>
      <c r="I197" s="361">
        <v>266</v>
      </c>
      <c r="J197" s="359">
        <v>3</v>
      </c>
      <c r="K197" s="359">
        <v>275</v>
      </c>
      <c r="L197" s="362">
        <v>267.5</v>
      </c>
      <c r="M197" s="362"/>
      <c r="N197" s="362">
        <v>936.25</v>
      </c>
    </row>
    <row r="198" spans="1:14" ht="12.75" customHeight="1">
      <c r="A198" s="359">
        <v>11000</v>
      </c>
      <c r="B198" s="359" t="s">
        <v>236</v>
      </c>
      <c r="C198" s="360">
        <v>11140</v>
      </c>
      <c r="D198" s="359" t="s">
        <v>238</v>
      </c>
      <c r="E198" s="359" t="s">
        <v>154</v>
      </c>
      <c r="F198" s="359"/>
      <c r="G198" s="359">
        <v>26</v>
      </c>
      <c r="H198" s="359">
        <v>1</v>
      </c>
      <c r="I198" s="361">
        <v>30</v>
      </c>
      <c r="J198" s="359">
        <v>0</v>
      </c>
      <c r="K198" s="359">
        <v>57</v>
      </c>
      <c r="L198" s="362">
        <v>56</v>
      </c>
      <c r="M198" s="362"/>
      <c r="N198" s="362">
        <v>196</v>
      </c>
    </row>
    <row r="199" spans="1:14" ht="12.75" customHeight="1">
      <c r="A199" s="359">
        <v>11000</v>
      </c>
      <c r="B199" s="359" t="s">
        <v>236</v>
      </c>
      <c r="C199" s="360">
        <v>11140</v>
      </c>
      <c r="D199" s="359" t="s">
        <v>238</v>
      </c>
      <c r="E199" s="359" t="s">
        <v>161</v>
      </c>
      <c r="F199" s="359"/>
      <c r="G199" s="359">
        <v>0</v>
      </c>
      <c r="H199" s="359">
        <v>10</v>
      </c>
      <c r="I199" s="361">
        <v>181</v>
      </c>
      <c r="J199" s="359">
        <v>1</v>
      </c>
      <c r="K199" s="359">
        <v>192</v>
      </c>
      <c r="L199" s="362">
        <v>181.5</v>
      </c>
      <c r="M199" s="362"/>
      <c r="N199" s="362">
        <v>633.85</v>
      </c>
    </row>
    <row r="200" spans="1:14" ht="12.75" customHeight="1">
      <c r="A200" s="359">
        <v>11000</v>
      </c>
      <c r="B200" s="359" t="s">
        <v>236</v>
      </c>
      <c r="C200" s="360">
        <v>11150</v>
      </c>
      <c r="D200" s="359" t="s">
        <v>239</v>
      </c>
      <c r="E200" s="359" t="s">
        <v>154</v>
      </c>
      <c r="F200" s="359"/>
      <c r="G200" s="359">
        <v>44</v>
      </c>
      <c r="H200" s="359">
        <v>0</v>
      </c>
      <c r="I200" s="361">
        <v>9</v>
      </c>
      <c r="J200" s="359">
        <v>0</v>
      </c>
      <c r="K200" s="359">
        <v>53</v>
      </c>
      <c r="L200" s="362">
        <v>53</v>
      </c>
      <c r="M200" s="362"/>
      <c r="N200" s="362">
        <v>185.5</v>
      </c>
    </row>
    <row r="201" spans="1:14" ht="12.75" customHeight="1">
      <c r="A201" s="359">
        <v>11000</v>
      </c>
      <c r="B201" s="359" t="s">
        <v>236</v>
      </c>
      <c r="C201" s="360">
        <v>11150</v>
      </c>
      <c r="D201" s="359" t="s">
        <v>239</v>
      </c>
      <c r="E201" s="359"/>
      <c r="F201" s="359" t="s">
        <v>240</v>
      </c>
      <c r="G201" s="359">
        <v>-18</v>
      </c>
      <c r="H201" s="359"/>
      <c r="I201" s="361"/>
      <c r="J201" s="359"/>
      <c r="K201" s="359">
        <v>-18</v>
      </c>
      <c r="L201" s="362">
        <v>-18</v>
      </c>
      <c r="M201" s="362"/>
      <c r="N201" s="362">
        <f>-18*3.5</f>
        <v>-63</v>
      </c>
    </row>
    <row r="202" spans="1:14" ht="12.75" customHeight="1">
      <c r="A202" s="359">
        <v>11000</v>
      </c>
      <c r="B202" s="359" t="s">
        <v>236</v>
      </c>
      <c r="C202" s="360">
        <v>11150</v>
      </c>
      <c r="D202" s="359" t="s">
        <v>239</v>
      </c>
      <c r="E202" s="359"/>
      <c r="F202" s="359" t="s">
        <v>241</v>
      </c>
      <c r="G202" s="359">
        <f>SUM(G200:G201)</f>
        <v>26</v>
      </c>
      <c r="H202" s="359">
        <f>SUM(H200:H201)</f>
        <v>0</v>
      </c>
      <c r="I202" s="361">
        <f>SUM(I200:I201)</f>
        <v>9</v>
      </c>
      <c r="J202" s="359">
        <f>SUM(J200:J201)</f>
        <v>0</v>
      </c>
      <c r="K202" s="359">
        <f>SUM(G202:J202)</f>
        <v>35</v>
      </c>
      <c r="L202" s="362">
        <f>SUM(L200:L201)</f>
        <v>35</v>
      </c>
      <c r="M202" s="362"/>
      <c r="N202" s="362">
        <f>L202*3.5</f>
        <v>122.5</v>
      </c>
    </row>
    <row r="203" spans="1:14" ht="12.75" customHeight="1">
      <c r="A203" s="359">
        <v>11000</v>
      </c>
      <c r="B203" s="359" t="s">
        <v>236</v>
      </c>
      <c r="C203" s="360">
        <v>11150</v>
      </c>
      <c r="D203" s="359" t="s">
        <v>239</v>
      </c>
      <c r="E203" s="359" t="s">
        <v>158</v>
      </c>
      <c r="F203" s="359"/>
      <c r="G203" s="359">
        <v>0</v>
      </c>
      <c r="H203" s="359">
        <v>0</v>
      </c>
      <c r="I203" s="361">
        <v>2</v>
      </c>
      <c r="J203" s="359">
        <v>0</v>
      </c>
      <c r="K203" s="359">
        <v>2</v>
      </c>
      <c r="L203" s="362">
        <v>2</v>
      </c>
      <c r="M203" s="362"/>
      <c r="N203" s="362">
        <v>5.6</v>
      </c>
    </row>
    <row r="204" spans="1:14" ht="12.75" customHeight="1">
      <c r="A204" s="359">
        <v>11000</v>
      </c>
      <c r="B204" s="359" t="s">
        <v>236</v>
      </c>
      <c r="C204" s="360">
        <v>11150</v>
      </c>
      <c r="D204" s="359" t="s">
        <v>239</v>
      </c>
      <c r="E204" s="359" t="s">
        <v>161</v>
      </c>
      <c r="F204" s="359"/>
      <c r="G204" s="359">
        <v>0</v>
      </c>
      <c r="H204" s="359">
        <v>4</v>
      </c>
      <c r="I204" s="361">
        <v>146</v>
      </c>
      <c r="J204" s="359">
        <v>0</v>
      </c>
      <c r="K204" s="359">
        <v>150</v>
      </c>
      <c r="L204" s="362">
        <v>146</v>
      </c>
      <c r="M204" s="362"/>
      <c r="N204" s="362">
        <v>506.8</v>
      </c>
    </row>
    <row r="205" spans="1:14" ht="12.75" customHeight="1">
      <c r="A205" s="363">
        <v>11000</v>
      </c>
      <c r="B205" s="363" t="s">
        <v>236</v>
      </c>
      <c r="C205" s="364"/>
      <c r="D205" s="363"/>
      <c r="E205" s="363" t="s">
        <v>154</v>
      </c>
      <c r="F205" s="363"/>
      <c r="G205" s="363">
        <f>G196+G198+G202</f>
        <v>92</v>
      </c>
      <c r="H205" s="363">
        <f aca="true" t="shared" si="2" ref="H205:N205">H196+H198+H202</f>
        <v>1</v>
      </c>
      <c r="I205" s="365">
        <f t="shared" si="2"/>
        <v>76</v>
      </c>
      <c r="J205" s="363">
        <f t="shared" si="2"/>
        <v>0</v>
      </c>
      <c r="K205" s="363">
        <f t="shared" si="2"/>
        <v>169</v>
      </c>
      <c r="L205" s="366">
        <f t="shared" si="2"/>
        <v>168</v>
      </c>
      <c r="M205" s="366">
        <f t="shared" si="2"/>
        <v>0</v>
      </c>
      <c r="N205" s="366">
        <f t="shared" si="2"/>
        <v>588</v>
      </c>
    </row>
    <row r="206" spans="1:14" ht="12.75" customHeight="1">
      <c r="A206" s="363">
        <v>11000</v>
      </c>
      <c r="B206" s="363" t="s">
        <v>236</v>
      </c>
      <c r="C206" s="364"/>
      <c r="D206" s="363"/>
      <c r="E206" s="363" t="s">
        <v>158</v>
      </c>
      <c r="F206" s="363"/>
      <c r="G206" s="363">
        <v>0</v>
      </c>
      <c r="H206" s="363">
        <v>0</v>
      </c>
      <c r="I206" s="365">
        <v>2</v>
      </c>
      <c r="J206" s="363">
        <v>0</v>
      </c>
      <c r="K206" s="363">
        <v>2</v>
      </c>
      <c r="L206" s="366">
        <v>2</v>
      </c>
      <c r="M206" s="366"/>
      <c r="N206" s="366">
        <v>5.6</v>
      </c>
    </row>
    <row r="207" spans="1:14" ht="12.75" customHeight="1">
      <c r="A207" s="363">
        <v>11000</v>
      </c>
      <c r="B207" s="363" t="s">
        <v>236</v>
      </c>
      <c r="C207" s="364"/>
      <c r="D207" s="363"/>
      <c r="E207" s="363" t="s">
        <v>161</v>
      </c>
      <c r="F207" s="363"/>
      <c r="G207" s="363">
        <v>0</v>
      </c>
      <c r="H207" s="363">
        <v>20</v>
      </c>
      <c r="I207" s="365">
        <v>593</v>
      </c>
      <c r="J207" s="363">
        <v>4</v>
      </c>
      <c r="K207" s="363">
        <v>617</v>
      </c>
      <c r="L207" s="366">
        <v>595</v>
      </c>
      <c r="M207" s="366"/>
      <c r="N207" s="366">
        <v>2076.9</v>
      </c>
    </row>
    <row r="208" spans="1:14" ht="12.75" customHeight="1">
      <c r="A208" s="367">
        <v>11000</v>
      </c>
      <c r="B208" s="367" t="s">
        <v>236</v>
      </c>
      <c r="C208" s="368"/>
      <c r="D208" s="367"/>
      <c r="E208" s="367"/>
      <c r="F208" s="367"/>
      <c r="G208" s="367">
        <v>110</v>
      </c>
      <c r="H208" s="367">
        <v>21</v>
      </c>
      <c r="I208" s="369">
        <v>671</v>
      </c>
      <c r="J208" s="367">
        <v>4</v>
      </c>
      <c r="K208" s="367">
        <f>SUM(K205:K207)</f>
        <v>788</v>
      </c>
      <c r="L208" s="370">
        <f>SUM(L205:L207)</f>
        <v>765</v>
      </c>
      <c r="M208" s="370"/>
      <c r="N208" s="370">
        <f>SUM(N205:N207)</f>
        <v>2670.5</v>
      </c>
    </row>
    <row r="209" spans="1:14" ht="12.75" customHeight="1">
      <c r="A209" s="359">
        <v>14000</v>
      </c>
      <c r="B209" s="359" t="s">
        <v>121</v>
      </c>
      <c r="C209" s="360">
        <v>14110</v>
      </c>
      <c r="D209" s="359" t="s">
        <v>242</v>
      </c>
      <c r="E209" s="359" t="s">
        <v>154</v>
      </c>
      <c r="F209" s="359"/>
      <c r="G209" s="359">
        <v>51</v>
      </c>
      <c r="H209" s="359">
        <v>2</v>
      </c>
      <c r="I209" s="361">
        <v>29</v>
      </c>
      <c r="J209" s="359">
        <v>0</v>
      </c>
      <c r="K209" s="359">
        <v>82</v>
      </c>
      <c r="L209" s="362">
        <v>80</v>
      </c>
      <c r="M209" s="362"/>
      <c r="N209" s="362">
        <v>280</v>
      </c>
    </row>
    <row r="210" spans="1:14" ht="12.75" customHeight="1">
      <c r="A210" s="359">
        <v>14000</v>
      </c>
      <c r="B210" s="359" t="s">
        <v>121</v>
      </c>
      <c r="C210" s="360">
        <v>14110</v>
      </c>
      <c r="D210" s="359" t="s">
        <v>242</v>
      </c>
      <c r="E210" s="359" t="s">
        <v>158</v>
      </c>
      <c r="F210" s="359"/>
      <c r="G210" s="359">
        <v>0</v>
      </c>
      <c r="H210" s="359">
        <v>0</v>
      </c>
      <c r="I210" s="361">
        <v>2</v>
      </c>
      <c r="J210" s="359">
        <v>0</v>
      </c>
      <c r="K210" s="359">
        <v>2</v>
      </c>
      <c r="L210" s="362">
        <v>2</v>
      </c>
      <c r="M210" s="362"/>
      <c r="N210" s="362">
        <v>5.6</v>
      </c>
    </row>
    <row r="211" spans="1:14" ht="12.75" customHeight="1">
      <c r="A211" s="359">
        <v>14000</v>
      </c>
      <c r="B211" s="359" t="s">
        <v>121</v>
      </c>
      <c r="C211" s="360">
        <v>14110</v>
      </c>
      <c r="D211" s="359" t="s">
        <v>242</v>
      </c>
      <c r="E211" s="359" t="s">
        <v>161</v>
      </c>
      <c r="F211" s="359"/>
      <c r="G211" s="359">
        <v>0</v>
      </c>
      <c r="H211" s="359">
        <v>12</v>
      </c>
      <c r="I211" s="361">
        <v>288</v>
      </c>
      <c r="J211" s="359">
        <v>3</v>
      </c>
      <c r="K211" s="359">
        <v>303</v>
      </c>
      <c r="L211" s="362">
        <v>289.5</v>
      </c>
      <c r="M211" s="362"/>
      <c r="N211" s="362">
        <v>1002.05</v>
      </c>
    </row>
    <row r="212" spans="1:14" ht="12.75" customHeight="1">
      <c r="A212" s="363">
        <v>14000</v>
      </c>
      <c r="B212" s="363" t="s">
        <v>121</v>
      </c>
      <c r="C212" s="364"/>
      <c r="D212" s="363"/>
      <c r="E212" s="363" t="s">
        <v>154</v>
      </c>
      <c r="F212" s="363"/>
      <c r="G212" s="363">
        <v>51</v>
      </c>
      <c r="H212" s="363">
        <v>2</v>
      </c>
      <c r="I212" s="365">
        <v>29</v>
      </c>
      <c r="J212" s="363">
        <v>0</v>
      </c>
      <c r="K212" s="363">
        <v>82</v>
      </c>
      <c r="L212" s="366">
        <v>80</v>
      </c>
      <c r="M212" s="366"/>
      <c r="N212" s="366">
        <v>280</v>
      </c>
    </row>
    <row r="213" spans="1:14" ht="12.75" customHeight="1">
      <c r="A213" s="363">
        <v>14000</v>
      </c>
      <c r="B213" s="363" t="s">
        <v>121</v>
      </c>
      <c r="C213" s="364"/>
      <c r="D213" s="363"/>
      <c r="E213" s="363" t="s">
        <v>158</v>
      </c>
      <c r="F213" s="363"/>
      <c r="G213" s="363">
        <v>0</v>
      </c>
      <c r="H213" s="363">
        <v>0</v>
      </c>
      <c r="I213" s="365">
        <v>2</v>
      </c>
      <c r="J213" s="363">
        <v>0</v>
      </c>
      <c r="K213" s="363">
        <v>2</v>
      </c>
      <c r="L213" s="366">
        <v>2</v>
      </c>
      <c r="M213" s="366"/>
      <c r="N213" s="366">
        <v>5.6</v>
      </c>
    </row>
    <row r="214" spans="1:14" ht="12.75" customHeight="1">
      <c r="A214" s="363">
        <v>14000</v>
      </c>
      <c r="B214" s="363" t="s">
        <v>121</v>
      </c>
      <c r="C214" s="364"/>
      <c r="D214" s="363"/>
      <c r="E214" s="363" t="s">
        <v>161</v>
      </c>
      <c r="F214" s="363"/>
      <c r="G214" s="363">
        <v>0</v>
      </c>
      <c r="H214" s="363">
        <v>12</v>
      </c>
      <c r="I214" s="365">
        <v>288</v>
      </c>
      <c r="J214" s="363">
        <v>3</v>
      </c>
      <c r="K214" s="363">
        <v>303</v>
      </c>
      <c r="L214" s="366">
        <v>289.5</v>
      </c>
      <c r="M214" s="366"/>
      <c r="N214" s="366">
        <v>1002.05</v>
      </c>
    </row>
    <row r="215" spans="1:14" ht="12.75" customHeight="1">
      <c r="A215" s="367">
        <v>14000</v>
      </c>
      <c r="B215" s="367" t="s">
        <v>121</v>
      </c>
      <c r="C215" s="368"/>
      <c r="D215" s="367"/>
      <c r="E215" s="367"/>
      <c r="F215" s="367"/>
      <c r="G215" s="367">
        <v>51</v>
      </c>
      <c r="H215" s="367">
        <v>14</v>
      </c>
      <c r="I215" s="369">
        <v>319</v>
      </c>
      <c r="J215" s="367">
        <v>3</v>
      </c>
      <c r="K215" s="367">
        <f>SUM(K212:K214)</f>
        <v>387</v>
      </c>
      <c r="L215" s="370">
        <f>SUM(L212:L214)</f>
        <v>371.5</v>
      </c>
      <c r="M215" s="370"/>
      <c r="N215" s="370">
        <f>SUM(N212:N214)</f>
        <v>1287.65</v>
      </c>
    </row>
    <row r="216" spans="1:14" ht="12.75" customHeight="1">
      <c r="A216" s="359">
        <v>15000</v>
      </c>
      <c r="B216" s="359" t="s">
        <v>243</v>
      </c>
      <c r="C216" s="360">
        <v>15110</v>
      </c>
      <c r="D216" s="359" t="s">
        <v>242</v>
      </c>
      <c r="E216" s="359" t="s">
        <v>154</v>
      </c>
      <c r="F216" s="359"/>
      <c r="G216" s="359">
        <v>49</v>
      </c>
      <c r="H216" s="359">
        <v>1</v>
      </c>
      <c r="I216" s="361">
        <v>41</v>
      </c>
      <c r="J216" s="359">
        <v>0</v>
      </c>
      <c r="K216" s="359">
        <v>91</v>
      </c>
      <c r="L216" s="362">
        <v>90</v>
      </c>
      <c r="M216" s="362"/>
      <c r="N216" s="362">
        <v>315</v>
      </c>
    </row>
    <row r="217" spans="1:14" ht="12.75" customHeight="1">
      <c r="A217" s="359">
        <v>15000</v>
      </c>
      <c r="B217" s="359" t="s">
        <v>243</v>
      </c>
      <c r="C217" s="360">
        <v>15110</v>
      </c>
      <c r="D217" s="359" t="s">
        <v>242</v>
      </c>
      <c r="E217" s="359" t="s">
        <v>161</v>
      </c>
      <c r="F217" s="359"/>
      <c r="G217" s="359">
        <v>0</v>
      </c>
      <c r="H217" s="359">
        <v>7</v>
      </c>
      <c r="I217" s="361">
        <v>321</v>
      </c>
      <c r="J217" s="359">
        <v>0</v>
      </c>
      <c r="K217" s="359">
        <v>328</v>
      </c>
      <c r="L217" s="362">
        <v>321</v>
      </c>
      <c r="M217" s="362"/>
      <c r="N217" s="362">
        <v>1123.5</v>
      </c>
    </row>
    <row r="218" spans="1:14" ht="12.75" customHeight="1">
      <c r="A218" s="363">
        <v>15000</v>
      </c>
      <c r="B218" s="363" t="s">
        <v>243</v>
      </c>
      <c r="C218" s="364"/>
      <c r="D218" s="363"/>
      <c r="E218" s="363" t="s">
        <v>154</v>
      </c>
      <c r="F218" s="363"/>
      <c r="G218" s="363">
        <v>49</v>
      </c>
      <c r="H218" s="363">
        <v>1</v>
      </c>
      <c r="I218" s="365">
        <v>41</v>
      </c>
      <c r="J218" s="363">
        <v>0</v>
      </c>
      <c r="K218" s="363">
        <v>91</v>
      </c>
      <c r="L218" s="366">
        <v>90</v>
      </c>
      <c r="M218" s="366"/>
      <c r="N218" s="366">
        <v>315</v>
      </c>
    </row>
    <row r="219" spans="1:14" ht="12.75" customHeight="1">
      <c r="A219" s="363">
        <v>15000</v>
      </c>
      <c r="B219" s="363" t="s">
        <v>243</v>
      </c>
      <c r="C219" s="364"/>
      <c r="D219" s="363"/>
      <c r="E219" s="363" t="s">
        <v>161</v>
      </c>
      <c r="F219" s="363"/>
      <c r="G219" s="363">
        <v>0</v>
      </c>
      <c r="H219" s="363">
        <v>7</v>
      </c>
      <c r="I219" s="365">
        <v>321</v>
      </c>
      <c r="J219" s="363">
        <v>0</v>
      </c>
      <c r="K219" s="363">
        <v>328</v>
      </c>
      <c r="L219" s="366">
        <v>321</v>
      </c>
      <c r="M219" s="366"/>
      <c r="N219" s="366">
        <v>1123.5</v>
      </c>
    </row>
    <row r="220" spans="1:14" ht="12.75" customHeight="1" thickBot="1">
      <c r="A220" s="371">
        <v>15000</v>
      </c>
      <c r="B220" s="371" t="s">
        <v>243</v>
      </c>
      <c r="C220" s="372"/>
      <c r="D220" s="371"/>
      <c r="E220" s="371"/>
      <c r="F220" s="371"/>
      <c r="G220" s="371">
        <v>49</v>
      </c>
      <c r="H220" s="371">
        <v>8</v>
      </c>
      <c r="I220" s="373">
        <v>362</v>
      </c>
      <c r="J220" s="371">
        <v>0</v>
      </c>
      <c r="K220" s="371">
        <f>SUM(K218:K219)</f>
        <v>419</v>
      </c>
      <c r="L220" s="374">
        <f>SUM(L218:L219)</f>
        <v>411</v>
      </c>
      <c r="M220" s="374"/>
      <c r="N220" s="374">
        <f>SUM(N218:N219)</f>
        <v>1438.5</v>
      </c>
    </row>
    <row r="221" spans="1:14" ht="12.75" customHeight="1" thickBot="1">
      <c r="A221" s="375"/>
      <c r="B221" s="376"/>
      <c r="C221" s="377"/>
      <c r="D221" s="376"/>
      <c r="E221" s="376" t="s">
        <v>244</v>
      </c>
      <c r="F221" s="376"/>
      <c r="G221" s="376"/>
      <c r="H221" s="376"/>
      <c r="I221" s="378"/>
      <c r="J221" s="376"/>
      <c r="K221" s="376">
        <f>K208+K215+K220</f>
        <v>1594</v>
      </c>
      <c r="L221" s="376">
        <f>L208+L215+L220</f>
        <v>1547.5</v>
      </c>
      <c r="M221" s="376">
        <f>M208+M215+M220</f>
        <v>0</v>
      </c>
      <c r="N221" s="376">
        <f>N208+N215+N220</f>
        <v>5396.65</v>
      </c>
    </row>
    <row r="222" spans="3:9" s="199" customFormat="1" ht="12.75">
      <c r="C222" s="210"/>
      <c r="I222" s="324"/>
    </row>
    <row r="223" spans="3:9" s="199" customFormat="1" ht="12.75">
      <c r="C223" s="210"/>
      <c r="I223" s="324"/>
    </row>
    <row r="224" spans="1:14" ht="12.75">
      <c r="A224" s="199"/>
      <c r="B224" s="199"/>
      <c r="C224" s="210"/>
      <c r="D224" s="199"/>
      <c r="E224" s="199"/>
      <c r="F224" s="199"/>
      <c r="G224" s="199"/>
      <c r="H224" s="199"/>
      <c r="I224" s="324"/>
      <c r="J224" s="379"/>
      <c r="K224" s="380"/>
      <c r="L224" s="379"/>
      <c r="N224" s="204"/>
    </row>
    <row r="225" spans="1:14" ht="12.75">
      <c r="A225" s="199"/>
      <c r="B225" s="199"/>
      <c r="C225" s="210"/>
      <c r="D225" s="199"/>
      <c r="E225" s="199"/>
      <c r="F225" s="199"/>
      <c r="G225" s="199"/>
      <c r="H225" s="199"/>
      <c r="I225" s="324"/>
      <c r="J225" s="324"/>
      <c r="K225" s="324"/>
      <c r="L225" s="324"/>
      <c r="N225" s="204"/>
    </row>
    <row r="226" spans="1:14" ht="12.75">
      <c r="A226" s="199"/>
      <c r="B226" s="199"/>
      <c r="C226" s="210"/>
      <c r="D226" s="199"/>
      <c r="E226" s="199"/>
      <c r="F226" s="199"/>
      <c r="G226" s="199"/>
      <c r="H226" s="199"/>
      <c r="I226" s="324"/>
      <c r="J226" s="324"/>
      <c r="K226" s="324"/>
      <c r="L226" s="324"/>
      <c r="N226" s="204"/>
    </row>
  </sheetData>
  <sheetProtection/>
  <mergeCells count="2">
    <mergeCell ref="A3:B3"/>
    <mergeCell ref="E4:N5"/>
  </mergeCells>
  <printOptions horizontalCentered="1"/>
  <pageMargins left="0.35433070866141736" right="0.2362204724409449" top="0.5905511811023623" bottom="0.31496062992125984" header="0.2755905511811024" footer="0.1968503937007874"/>
  <pageSetup fitToHeight="42" horizontalDpi="600" verticalDpi="600" orientation="portrait" paperSize="9" scale="45" r:id="rId2"/>
  <headerFooter alignWithMargins="0">
    <oddHeader>&amp;R&amp;"Arial,Kurzíva"&amp;14Kapitola B.3.I.1&amp;"Arial,Tučné"
Tabulka č.4/str.&amp;P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90" zoomScaleNormal="90" zoomScalePageLayoutView="70" workbookViewId="0" topLeftCell="A1">
      <selection activeCell="A1" sqref="A1:IV16384"/>
    </sheetView>
  </sheetViews>
  <sheetFormatPr defaultColWidth="7.7109375" defaultRowHeight="12.75"/>
  <cols>
    <col min="1" max="1" width="5.7109375" style="382" customWidth="1"/>
    <col min="2" max="2" width="11.00390625" style="382" customWidth="1"/>
    <col min="3" max="3" width="8.421875" style="382" customWidth="1"/>
    <col min="4" max="4" width="7.140625" style="382" customWidth="1"/>
    <col min="5" max="5" width="7.57421875" style="382" customWidth="1"/>
    <col min="6" max="6" width="7.421875" style="382" customWidth="1"/>
    <col min="7" max="7" width="9.140625" style="383" customWidth="1"/>
    <col min="8" max="8" width="7.28125" style="383" customWidth="1"/>
    <col min="9" max="9" width="8.8515625" style="383" customWidth="1"/>
    <col min="10" max="10" width="7.421875" style="383" customWidth="1"/>
    <col min="11" max="11" width="2.28125" style="383" customWidth="1"/>
    <col min="12" max="12" width="8.140625" style="383" customWidth="1"/>
    <col min="13" max="13" width="8.00390625" style="382" customWidth="1"/>
    <col min="14" max="14" width="6.7109375" style="382" customWidth="1"/>
    <col min="15" max="15" width="2.421875" style="384" customWidth="1"/>
    <col min="16" max="16" width="6.7109375" style="382" customWidth="1"/>
    <col min="17" max="17" width="6.28125" style="382" customWidth="1"/>
    <col min="18" max="18" width="6.421875" style="382" customWidth="1"/>
    <col min="19" max="19" width="6.7109375" style="382" customWidth="1"/>
    <col min="20" max="20" width="8.421875" style="382" customWidth="1"/>
    <col min="21" max="21" width="7.00390625" style="382" customWidth="1"/>
    <col min="22" max="22" width="8.57421875" style="382" customWidth="1"/>
    <col min="23" max="23" width="6.7109375" style="382" customWidth="1"/>
    <col min="24" max="24" width="2.140625" style="385" customWidth="1"/>
    <col min="25" max="25" width="8.28125" style="382" customWidth="1"/>
    <col min="26" max="26" width="8.8515625" style="382" customWidth="1"/>
    <col min="27" max="27" width="3.7109375" style="382" customWidth="1"/>
    <col min="28" max="28" width="9.8515625" style="382" customWidth="1"/>
    <col min="29" max="16384" width="7.7109375" style="382" customWidth="1"/>
  </cols>
  <sheetData>
    <row r="1" ht="19.5">
      <c r="A1" s="381" t="s">
        <v>245</v>
      </c>
    </row>
    <row r="2" spans="1:2" ht="15">
      <c r="A2" s="386" t="s">
        <v>246</v>
      </c>
      <c r="B2" s="386"/>
    </row>
    <row r="3" ht="15.75" thickBot="1"/>
    <row r="4" spans="1:26" s="385" customFormat="1" ht="23.25" customHeight="1">
      <c r="A4" s="684" t="s">
        <v>247</v>
      </c>
      <c r="B4" s="685"/>
      <c r="C4" s="690" t="s">
        <v>248</v>
      </c>
      <c r="D4" s="691"/>
      <c r="E4" s="691"/>
      <c r="F4" s="691"/>
      <c r="G4" s="691"/>
      <c r="H4" s="691"/>
      <c r="I4" s="691"/>
      <c r="J4" s="692"/>
      <c r="K4" s="387"/>
      <c r="L4" s="693"/>
      <c r="M4" s="693"/>
      <c r="N4" s="694"/>
      <c r="P4" s="695"/>
      <c r="Q4" s="695"/>
      <c r="R4" s="695"/>
      <c r="S4" s="695"/>
      <c r="T4" s="695"/>
      <c r="U4" s="695"/>
      <c r="V4" s="695"/>
      <c r="W4" s="696"/>
      <c r="Y4" s="697" t="s">
        <v>249</v>
      </c>
      <c r="Z4" s="700" t="s">
        <v>250</v>
      </c>
    </row>
    <row r="5" spans="1:26" s="389" customFormat="1" ht="27" customHeight="1">
      <c r="A5" s="686"/>
      <c r="B5" s="687"/>
      <c r="C5" s="703" t="s">
        <v>251</v>
      </c>
      <c r="D5" s="704"/>
      <c r="E5" s="707" t="s">
        <v>252</v>
      </c>
      <c r="F5" s="704"/>
      <c r="G5" s="709" t="s">
        <v>253</v>
      </c>
      <c r="H5" s="709"/>
      <c r="I5" s="709" t="s">
        <v>254</v>
      </c>
      <c r="J5" s="711"/>
      <c r="K5" s="388"/>
      <c r="L5" s="672" t="s">
        <v>255</v>
      </c>
      <c r="M5" s="674" t="s">
        <v>256</v>
      </c>
      <c r="N5" s="675"/>
      <c r="P5" s="678" t="s">
        <v>257</v>
      </c>
      <c r="Q5" s="679"/>
      <c r="R5" s="678" t="s">
        <v>258</v>
      </c>
      <c r="S5" s="679"/>
      <c r="T5" s="678" t="s">
        <v>259</v>
      </c>
      <c r="U5" s="679"/>
      <c r="V5" s="678" t="s">
        <v>260</v>
      </c>
      <c r="W5" s="682"/>
      <c r="Y5" s="698"/>
      <c r="Z5" s="701"/>
    </row>
    <row r="6" spans="1:26" s="385" customFormat="1" ht="18" customHeight="1" thickBot="1">
      <c r="A6" s="688"/>
      <c r="B6" s="689"/>
      <c r="C6" s="705"/>
      <c r="D6" s="706"/>
      <c r="E6" s="708"/>
      <c r="F6" s="706"/>
      <c r="G6" s="710"/>
      <c r="H6" s="710"/>
      <c r="I6" s="710"/>
      <c r="J6" s="712"/>
      <c r="K6" s="388"/>
      <c r="L6" s="673"/>
      <c r="M6" s="676"/>
      <c r="N6" s="677"/>
      <c r="P6" s="680"/>
      <c r="Q6" s="681"/>
      <c r="R6" s="680"/>
      <c r="S6" s="681"/>
      <c r="T6" s="680"/>
      <c r="U6" s="681"/>
      <c r="V6" s="680"/>
      <c r="W6" s="683"/>
      <c r="Y6" s="699"/>
      <c r="Z6" s="702"/>
    </row>
    <row r="7" spans="1:26" s="385" customFormat="1" ht="12.75" customHeight="1" thickBot="1">
      <c r="A7" s="390" t="s">
        <v>261</v>
      </c>
      <c r="B7" s="391"/>
      <c r="C7" s="392"/>
      <c r="D7" s="393">
        <v>0.293</v>
      </c>
      <c r="E7" s="394"/>
      <c r="F7" s="393">
        <v>0.017</v>
      </c>
      <c r="G7" s="394"/>
      <c r="H7" s="393">
        <v>0.05</v>
      </c>
      <c r="I7" s="395"/>
      <c r="J7" s="396">
        <v>0.03</v>
      </c>
      <c r="K7" s="397"/>
      <c r="L7" s="398">
        <v>0.02</v>
      </c>
      <c r="M7" s="399"/>
      <c r="N7" s="400">
        <v>0.32</v>
      </c>
      <c r="O7" s="401"/>
      <c r="P7" s="399"/>
      <c r="Q7" s="402">
        <v>0.02</v>
      </c>
      <c r="R7" s="399"/>
      <c r="S7" s="403">
        <v>0.03</v>
      </c>
      <c r="T7" s="399"/>
      <c r="U7" s="403">
        <v>0.11</v>
      </c>
      <c r="V7" s="399"/>
      <c r="W7" s="404">
        <v>0.11</v>
      </c>
      <c r="Y7" s="405">
        <v>1</v>
      </c>
      <c r="Z7" s="406">
        <v>3095646</v>
      </c>
    </row>
    <row r="8" spans="1:26" s="415" customFormat="1" ht="12.75" customHeight="1">
      <c r="A8" s="390" t="s">
        <v>262</v>
      </c>
      <c r="B8" s="407"/>
      <c r="C8" s="408"/>
      <c r="D8" s="409">
        <v>1.0000000000000004</v>
      </c>
      <c r="E8" s="410"/>
      <c r="F8" s="409">
        <v>1</v>
      </c>
      <c r="G8" s="410"/>
      <c r="H8" s="409">
        <v>1</v>
      </c>
      <c r="I8" s="411"/>
      <c r="J8" s="412">
        <v>0.9999999999999999</v>
      </c>
      <c r="K8" s="397"/>
      <c r="L8" s="409">
        <v>0.9999999999999999</v>
      </c>
      <c r="M8" s="413"/>
      <c r="N8" s="414">
        <v>0.9999999999999999</v>
      </c>
      <c r="P8" s="413"/>
      <c r="Q8" s="416">
        <v>1</v>
      </c>
      <c r="R8" s="413"/>
      <c r="S8" s="417">
        <v>1</v>
      </c>
      <c r="T8" s="413"/>
      <c r="U8" s="417">
        <v>1</v>
      </c>
      <c r="V8" s="413"/>
      <c r="W8" s="414">
        <v>1</v>
      </c>
      <c r="Y8" s="418">
        <v>1.0000000000000002</v>
      </c>
      <c r="Z8" s="419">
        <v>3095646</v>
      </c>
    </row>
    <row r="9" spans="1:26" s="385" customFormat="1" ht="11.25" customHeight="1">
      <c r="A9" s="420">
        <v>11000</v>
      </c>
      <c r="B9" s="421" t="s">
        <v>118</v>
      </c>
      <c r="C9" s="422"/>
      <c r="D9" s="423">
        <v>0.3155755138370034</v>
      </c>
      <c r="E9" s="424"/>
      <c r="F9" s="423">
        <v>0</v>
      </c>
      <c r="G9" s="397"/>
      <c r="H9" s="423">
        <v>0.2567745262249336</v>
      </c>
      <c r="J9" s="425">
        <v>0.2934253447380132</v>
      </c>
      <c r="K9" s="397"/>
      <c r="L9" s="423">
        <v>0.2161568700043918</v>
      </c>
      <c r="M9" s="426"/>
      <c r="N9" s="427">
        <v>0.14132825699501986</v>
      </c>
      <c r="P9" s="426"/>
      <c r="Q9" s="397">
        <v>0.19357336698773145</v>
      </c>
      <c r="R9" s="426"/>
      <c r="S9" s="428">
        <v>0.6189147593082731</v>
      </c>
      <c r="T9" s="426"/>
      <c r="U9" s="428">
        <v>0.12334419668825942</v>
      </c>
      <c r="V9" s="426"/>
      <c r="W9" s="427">
        <v>0.2724452491128323</v>
      </c>
      <c r="Y9" s="429">
        <v>0.22962904100324616</v>
      </c>
      <c r="Z9" s="430">
        <v>710850.2222655349</v>
      </c>
    </row>
    <row r="10" spans="1:26" s="385" customFormat="1" ht="11.25" customHeight="1">
      <c r="A10" s="420">
        <v>12000</v>
      </c>
      <c r="B10" s="421" t="s">
        <v>119</v>
      </c>
      <c r="C10" s="422"/>
      <c r="D10" s="423">
        <v>0.03585588814575183</v>
      </c>
      <c r="E10" s="424"/>
      <c r="F10" s="423">
        <v>0</v>
      </c>
      <c r="G10" s="397"/>
      <c r="H10" s="423">
        <v>0.03255187502563643</v>
      </c>
      <c r="J10" s="425">
        <v>0.023947252023385168</v>
      </c>
      <c r="K10" s="397"/>
      <c r="L10" s="423">
        <v>0.028122214725128845</v>
      </c>
      <c r="M10" s="431"/>
      <c r="N10" s="427">
        <v>0.04266067153740041</v>
      </c>
      <c r="P10" s="431"/>
      <c r="Q10" s="397">
        <v>0.008487069973804844</v>
      </c>
      <c r="R10" s="431"/>
      <c r="S10" s="428">
        <v>0</v>
      </c>
      <c r="T10" s="431"/>
      <c r="U10" s="428">
        <v>0.02194400943303061</v>
      </c>
      <c r="V10" s="431"/>
      <c r="W10" s="427">
        <v>0.006349898277752272</v>
      </c>
      <c r="Y10" s="429">
        <v>0.03034771697282158</v>
      </c>
      <c r="Z10" s="430">
        <v>93945.78865604724</v>
      </c>
    </row>
    <row r="11" spans="1:26" s="385" customFormat="1" ht="11.25" customHeight="1">
      <c r="A11" s="420">
        <v>13000</v>
      </c>
      <c r="B11" s="421" t="s">
        <v>120</v>
      </c>
      <c r="C11" s="422"/>
      <c r="D11" s="423">
        <v>0.006538752318329648</v>
      </c>
      <c r="E11" s="424"/>
      <c r="F11" s="423">
        <v>0.05257611376822503</v>
      </c>
      <c r="G11" s="397"/>
      <c r="H11" s="423">
        <v>0.008112994120517341</v>
      </c>
      <c r="J11" s="425">
        <v>0.011873212224645522</v>
      </c>
      <c r="K11" s="397"/>
      <c r="L11" s="423">
        <v>0.021798370346998282</v>
      </c>
      <c r="M11" s="431"/>
      <c r="N11" s="427">
        <v>0.02776060794420012</v>
      </c>
      <c r="P11" s="431"/>
      <c r="Q11" s="397">
        <v>0.008159089556885967</v>
      </c>
      <c r="R11" s="431"/>
      <c r="S11" s="428">
        <v>0.0020766873809836355</v>
      </c>
      <c r="T11" s="431"/>
      <c r="U11" s="428">
        <v>0.03493986156953034</v>
      </c>
      <c r="V11" s="431"/>
      <c r="W11" s="427">
        <v>0.011779263620724392</v>
      </c>
      <c r="Y11" s="429">
        <v>0.0182554425686749</v>
      </c>
      <c r="Z11" s="430">
        <v>56512.38776594817</v>
      </c>
    </row>
    <row r="12" spans="1:26" s="385" customFormat="1" ht="11.25" customHeight="1">
      <c r="A12" s="420">
        <v>14000</v>
      </c>
      <c r="B12" s="421" t="s">
        <v>121</v>
      </c>
      <c r="C12" s="422"/>
      <c r="D12" s="423">
        <v>0.11876703295590574</v>
      </c>
      <c r="E12" s="424"/>
      <c r="F12" s="423">
        <v>0</v>
      </c>
      <c r="G12" s="397"/>
      <c r="H12" s="423">
        <v>0.10918166284253594</v>
      </c>
      <c r="J12" s="425">
        <v>0.09431765040116769</v>
      </c>
      <c r="K12" s="397"/>
      <c r="L12" s="423">
        <v>0.09388516784176346</v>
      </c>
      <c r="M12" s="431"/>
      <c r="N12" s="427">
        <v>0.09514614747066495</v>
      </c>
      <c r="P12" s="431"/>
      <c r="Q12" s="397">
        <v>0.2148011079826539</v>
      </c>
      <c r="R12" s="431"/>
      <c r="S12" s="428">
        <v>0.12822534175415573</v>
      </c>
      <c r="T12" s="431"/>
      <c r="U12" s="428">
        <v>0.19532658410188494</v>
      </c>
      <c r="V12" s="431"/>
      <c r="W12" s="427">
        <v>0.1614353773602376</v>
      </c>
      <c r="Y12" s="429">
        <v>0.12279842203080152</v>
      </c>
      <c r="Z12" s="430">
        <v>380140.4439659626</v>
      </c>
    </row>
    <row r="13" spans="1:26" s="385" customFormat="1" ht="11.25" customHeight="1">
      <c r="A13" s="420">
        <v>15000</v>
      </c>
      <c r="B13" s="421" t="s">
        <v>122</v>
      </c>
      <c r="C13" s="422"/>
      <c r="D13" s="423">
        <v>0.06508719555302911</v>
      </c>
      <c r="E13" s="424"/>
      <c r="F13" s="423">
        <v>0</v>
      </c>
      <c r="G13" s="397"/>
      <c r="H13" s="423">
        <v>0.06173389096140005</v>
      </c>
      <c r="J13" s="425">
        <v>0.042223335855962066</v>
      </c>
      <c r="K13" s="397"/>
      <c r="L13" s="423">
        <v>0.06576139413719795</v>
      </c>
      <c r="M13" s="431"/>
      <c r="N13" s="427">
        <v>0.06904094528497731</v>
      </c>
      <c r="P13" s="431"/>
      <c r="Q13" s="397">
        <v>0.04293342791185654</v>
      </c>
      <c r="R13" s="431"/>
      <c r="S13" s="428">
        <v>0.07603105143468887</v>
      </c>
      <c r="T13" s="431"/>
      <c r="U13" s="428">
        <v>0.07612388164205178</v>
      </c>
      <c r="V13" s="431"/>
      <c r="W13" s="427">
        <v>0.038953851237843715</v>
      </c>
      <c r="Y13" s="429">
        <v>0.06263042401278938</v>
      </c>
      <c r="Z13" s="430">
        <v>193881.62157349542</v>
      </c>
    </row>
    <row r="14" spans="1:26" s="385" customFormat="1" ht="11.25" customHeight="1">
      <c r="A14" s="420">
        <v>16000</v>
      </c>
      <c r="B14" s="421" t="s">
        <v>123</v>
      </c>
      <c r="C14" s="422"/>
      <c r="D14" s="423">
        <v>0.011034399709448422</v>
      </c>
      <c r="E14" s="424"/>
      <c r="F14" s="423">
        <v>0</v>
      </c>
      <c r="G14" s="397"/>
      <c r="H14" s="423">
        <v>0.00890565830625772</v>
      </c>
      <c r="J14" s="425">
        <v>0.018888188390541107</v>
      </c>
      <c r="K14" s="397"/>
      <c r="L14" s="423">
        <v>0.014235151370405149</v>
      </c>
      <c r="M14" s="431"/>
      <c r="N14" s="427">
        <v>0.014252060436105099</v>
      </c>
      <c r="P14" s="431"/>
      <c r="Q14" s="397">
        <v>0.015364673524674077</v>
      </c>
      <c r="R14" s="431"/>
      <c r="S14" s="428">
        <v>0.047132743562888726</v>
      </c>
      <c r="T14" s="431"/>
      <c r="U14" s="428">
        <v>0.006064821281072804</v>
      </c>
      <c r="V14" s="431"/>
      <c r="W14" s="427">
        <v>0.004460013665047652</v>
      </c>
      <c r="Y14" s="429">
        <v>0.011969377670312633</v>
      </c>
      <c r="Z14" s="430">
        <v>37052.956107592625</v>
      </c>
    </row>
    <row r="15" spans="1:26" s="385" customFormat="1" ht="11.25" customHeight="1">
      <c r="A15" s="420">
        <v>17000</v>
      </c>
      <c r="B15" s="421" t="s">
        <v>124</v>
      </c>
      <c r="C15" s="422"/>
      <c r="D15" s="423">
        <v>0.010889792195598231</v>
      </c>
      <c r="E15" s="424"/>
      <c r="F15" s="423">
        <v>0.06784325987346218</v>
      </c>
      <c r="G15" s="397"/>
      <c r="H15" s="423">
        <v>0.009916861885228393</v>
      </c>
      <c r="J15" s="425">
        <v>0.013240872550791144</v>
      </c>
      <c r="K15" s="397"/>
      <c r="L15" s="423">
        <v>0.022113742686145556</v>
      </c>
      <c r="M15" s="431"/>
      <c r="N15" s="427">
        <v>0.03666102307089549</v>
      </c>
      <c r="P15" s="431"/>
      <c r="Q15" s="397">
        <v>0.011082289011439365</v>
      </c>
      <c r="R15" s="431"/>
      <c r="S15" s="428">
        <v>0.014727151237603733</v>
      </c>
      <c r="T15" s="431"/>
      <c r="U15" s="428">
        <v>0.025104714989662276</v>
      </c>
      <c r="V15" s="431"/>
      <c r="W15" s="427">
        <v>0.018191850628477044</v>
      </c>
      <c r="Y15" s="429">
        <v>0.022836998573705986</v>
      </c>
      <c r="Z15" s="430">
        <v>70695.26328669864</v>
      </c>
    </row>
    <row r="16" spans="1:26" s="385" customFormat="1" ht="11.25" customHeight="1">
      <c r="A16" s="420">
        <v>18000</v>
      </c>
      <c r="B16" s="421" t="s">
        <v>125</v>
      </c>
      <c r="C16" s="422"/>
      <c r="D16" s="423">
        <v>0.00424672916128509</v>
      </c>
      <c r="E16" s="424"/>
      <c r="F16" s="423">
        <v>0</v>
      </c>
      <c r="G16" s="397"/>
      <c r="H16" s="423">
        <v>0.0025625652852949493</v>
      </c>
      <c r="J16" s="425">
        <v>0.009608174404052282</v>
      </c>
      <c r="K16" s="397"/>
      <c r="L16" s="423">
        <v>0.01788504002269959</v>
      </c>
      <c r="M16" s="431"/>
      <c r="N16" s="427">
        <v>0.02771371425315531</v>
      </c>
      <c r="P16" s="431"/>
      <c r="Q16" s="397">
        <v>0.0035269004583718686</v>
      </c>
      <c r="R16" s="431"/>
      <c r="S16" s="428">
        <v>0.0073560790135374105</v>
      </c>
      <c r="T16" s="431"/>
      <c r="U16" s="428">
        <v>0.02386768491884351</v>
      </c>
      <c r="V16" s="431"/>
      <c r="W16" s="427">
        <v>0.009608965115014759</v>
      </c>
      <c r="Y16" s="429">
        <v>0.01486040638540451</v>
      </c>
      <c r="Z16" s="430">
        <v>46002.55758535193</v>
      </c>
    </row>
    <row r="17" spans="1:26" s="385" customFormat="1" ht="11.25" customHeight="1">
      <c r="A17" s="420">
        <v>19000</v>
      </c>
      <c r="B17" s="421" t="s">
        <v>126</v>
      </c>
      <c r="C17" s="422"/>
      <c r="D17" s="423">
        <v>0.006611984749769653</v>
      </c>
      <c r="E17" s="424"/>
      <c r="F17" s="423">
        <v>0</v>
      </c>
      <c r="G17" s="397"/>
      <c r="H17" s="423">
        <v>0.0028559345403699494</v>
      </c>
      <c r="J17" s="425">
        <v>0.01182796468686453</v>
      </c>
      <c r="K17" s="397"/>
      <c r="L17" s="423">
        <v>0.010871021717815482</v>
      </c>
      <c r="M17" s="431"/>
      <c r="N17" s="427">
        <v>0.020604421701704904</v>
      </c>
      <c r="P17" s="431"/>
      <c r="Q17" s="397">
        <v>0.019021618951758572</v>
      </c>
      <c r="R17" s="431"/>
      <c r="S17" s="428">
        <v>0</v>
      </c>
      <c r="T17" s="431"/>
      <c r="U17" s="428">
        <v>0.013529581491552367</v>
      </c>
      <c r="V17" s="431"/>
      <c r="W17" s="427">
        <v>0.004369562454916023</v>
      </c>
      <c r="Y17" s="429">
        <v>0.011595120791355515</v>
      </c>
      <c r="Z17" s="430">
        <v>35894.38929727653</v>
      </c>
    </row>
    <row r="18" spans="1:26" s="385" customFormat="1" ht="11.25" customHeight="1">
      <c r="A18" s="420">
        <v>21000</v>
      </c>
      <c r="B18" s="421" t="s">
        <v>127</v>
      </c>
      <c r="C18" s="422"/>
      <c r="D18" s="423">
        <v>0.1333695484246462</v>
      </c>
      <c r="E18" s="424"/>
      <c r="F18" s="423">
        <v>0.022149907547876303</v>
      </c>
      <c r="G18" s="397"/>
      <c r="H18" s="423">
        <v>0.1538700049885346</v>
      </c>
      <c r="J18" s="425">
        <v>0.12594951357830428</v>
      </c>
      <c r="K18" s="397"/>
      <c r="L18" s="423">
        <v>0.09477471529868227</v>
      </c>
      <c r="M18" s="431"/>
      <c r="N18" s="427">
        <v>0.06385815951623236</v>
      </c>
      <c r="P18" s="431"/>
      <c r="Q18" s="397">
        <v>0.0765012893370844</v>
      </c>
      <c r="R18" s="431"/>
      <c r="S18" s="428">
        <v>0.029639721983992572</v>
      </c>
      <c r="T18" s="431"/>
      <c r="U18" s="428">
        <v>0.06676838995488157</v>
      </c>
      <c r="V18" s="431"/>
      <c r="W18" s="427">
        <v>0.12055290439011017</v>
      </c>
      <c r="Y18" s="429">
        <v>0.09628047694888965</v>
      </c>
      <c r="Z18" s="430">
        <v>298050.27334492246</v>
      </c>
    </row>
    <row r="19" spans="1:26" s="385" customFormat="1" ht="11.25" customHeight="1">
      <c r="A19" s="420">
        <v>22000</v>
      </c>
      <c r="B19" s="421" t="s">
        <v>128</v>
      </c>
      <c r="C19" s="422"/>
      <c r="D19" s="423">
        <v>0.04266730730577721</v>
      </c>
      <c r="E19" s="424"/>
      <c r="F19" s="423">
        <v>0</v>
      </c>
      <c r="G19" s="397"/>
      <c r="H19" s="423">
        <v>0.04685051727887944</v>
      </c>
      <c r="J19" s="425">
        <v>0.026943135653479267</v>
      </c>
      <c r="K19" s="397"/>
      <c r="L19" s="423">
        <v>0.029445416392558422</v>
      </c>
      <c r="M19" s="431"/>
      <c r="N19" s="427">
        <v>0.016297711350716247</v>
      </c>
      <c r="P19" s="431"/>
      <c r="Q19" s="397">
        <v>0.013559073320443926</v>
      </c>
      <c r="R19" s="431"/>
      <c r="S19" s="428">
        <v>0.007567275832619463</v>
      </c>
      <c r="T19" s="431"/>
      <c r="U19" s="428">
        <v>0.010622459800000745</v>
      </c>
      <c r="V19" s="431"/>
      <c r="W19" s="427">
        <v>0.016498411694648284</v>
      </c>
      <c r="Y19" s="429">
        <v>0.024938012540020295</v>
      </c>
      <c r="Z19" s="430">
        <v>77199.25876746366</v>
      </c>
    </row>
    <row r="20" spans="1:26" s="385" customFormat="1" ht="11.25" customHeight="1">
      <c r="A20" s="420">
        <v>23000</v>
      </c>
      <c r="B20" s="421" t="s">
        <v>129</v>
      </c>
      <c r="C20" s="422"/>
      <c r="D20" s="423">
        <v>0.03336463002532723</v>
      </c>
      <c r="E20" s="424"/>
      <c r="F20" s="423">
        <v>0.062164885177936564</v>
      </c>
      <c r="G20" s="397"/>
      <c r="H20" s="423">
        <v>0.03978354396801979</v>
      </c>
      <c r="J20" s="425">
        <v>0.023854379241099184</v>
      </c>
      <c r="K20" s="397"/>
      <c r="L20" s="423">
        <v>0.03739430525386205</v>
      </c>
      <c r="M20" s="431"/>
      <c r="N20" s="427">
        <v>0.05159351227919756</v>
      </c>
      <c r="P20" s="431"/>
      <c r="Q20" s="397">
        <v>0.014635350911680473</v>
      </c>
      <c r="R20" s="431"/>
      <c r="S20" s="428">
        <v>0</v>
      </c>
      <c r="T20" s="431"/>
      <c r="U20" s="428">
        <v>0.03910508532214857</v>
      </c>
      <c r="V20" s="431"/>
      <c r="W20" s="427">
        <v>0.018849446077859162</v>
      </c>
      <c r="Y20" s="429">
        <v>0.03746296372773468</v>
      </c>
      <c r="Z20" s="430">
        <v>115972.07381190696</v>
      </c>
    </row>
    <row r="21" spans="1:26" s="385" customFormat="1" ht="11.25" customHeight="1">
      <c r="A21" s="420">
        <v>24000</v>
      </c>
      <c r="B21" s="421" t="s">
        <v>130</v>
      </c>
      <c r="C21" s="422"/>
      <c r="D21" s="423">
        <v>0.01461668800626864</v>
      </c>
      <c r="E21" s="424"/>
      <c r="F21" s="423">
        <v>0.02707940074038903</v>
      </c>
      <c r="G21" s="397"/>
      <c r="H21" s="423">
        <v>0.031088068589446828</v>
      </c>
      <c r="J21" s="425">
        <v>0.030795745282845947</v>
      </c>
      <c r="K21" s="397"/>
      <c r="L21" s="423">
        <v>0.02789301823868314</v>
      </c>
      <c r="M21" s="431"/>
      <c r="N21" s="427">
        <v>0.025266761707200217</v>
      </c>
      <c r="P21" s="431"/>
      <c r="Q21" s="397">
        <v>0.018917035455643685</v>
      </c>
      <c r="R21" s="431"/>
      <c r="S21" s="428">
        <v>0.0018677705232342915</v>
      </c>
      <c r="T21" s="431"/>
      <c r="U21" s="428">
        <v>0.026839738853540174</v>
      </c>
      <c r="V21" s="431"/>
      <c r="W21" s="427">
        <v>0.01345425443229394</v>
      </c>
      <c r="Y21" s="429">
        <v>0.020731252383710434</v>
      </c>
      <c r="Z21" s="430">
        <v>64176.61851662367</v>
      </c>
    </row>
    <row r="22" spans="1:26" s="385" customFormat="1" ht="11.25" customHeight="1">
      <c r="A22" s="420">
        <v>25000</v>
      </c>
      <c r="B22" s="421" t="s">
        <v>131</v>
      </c>
      <c r="C22" s="422"/>
      <c r="D22" s="423">
        <v>0.030706362045601208</v>
      </c>
      <c r="E22" s="424"/>
      <c r="F22" s="423">
        <v>0</v>
      </c>
      <c r="G22" s="397"/>
      <c r="H22" s="423">
        <v>0.015843192030168454</v>
      </c>
      <c r="J22" s="425">
        <v>0.01563491761984061</v>
      </c>
      <c r="K22" s="397"/>
      <c r="L22" s="423">
        <v>0.028275280834195088</v>
      </c>
      <c r="M22" s="431"/>
      <c r="N22" s="427">
        <v>0.02829428988366825</v>
      </c>
      <c r="P22" s="431"/>
      <c r="Q22" s="397">
        <v>0.00816255266563487</v>
      </c>
      <c r="R22" s="431"/>
      <c r="S22" s="428">
        <v>0.00013491635186184566</v>
      </c>
      <c r="T22" s="431"/>
      <c r="U22" s="428">
        <v>0.02206318008932087</v>
      </c>
      <c r="V22" s="431"/>
      <c r="W22" s="427">
        <v>0.018911489608906033</v>
      </c>
      <c r="Y22" s="429">
        <v>0.024552361799596047</v>
      </c>
      <c r="Z22" s="430">
        <v>76005.4205954723</v>
      </c>
    </row>
    <row r="23" spans="1:26" s="385" customFormat="1" ht="11.25" customHeight="1">
      <c r="A23" s="420">
        <v>26000</v>
      </c>
      <c r="B23" s="421" t="s">
        <v>132</v>
      </c>
      <c r="C23" s="422"/>
      <c r="D23" s="423">
        <v>0.08185267564836446</v>
      </c>
      <c r="E23" s="424"/>
      <c r="F23" s="423">
        <v>0.0722014414038826</v>
      </c>
      <c r="G23" s="397"/>
      <c r="H23" s="423">
        <v>0.0853360459979451</v>
      </c>
      <c r="J23" s="425">
        <v>0.08584250631561502</v>
      </c>
      <c r="K23" s="397"/>
      <c r="L23" s="423">
        <v>0.06764608332653986</v>
      </c>
      <c r="M23" s="431"/>
      <c r="N23" s="427">
        <v>0.06321196209426062</v>
      </c>
      <c r="P23" s="431"/>
      <c r="Q23" s="397">
        <v>0.0950696150524394</v>
      </c>
      <c r="R23" s="431"/>
      <c r="S23" s="428">
        <v>0.004982796445006641</v>
      </c>
      <c r="T23" s="431"/>
      <c r="U23" s="428">
        <v>0.07789799057041705</v>
      </c>
      <c r="V23" s="431"/>
      <c r="W23" s="427">
        <v>0.06698914679864676</v>
      </c>
      <c r="Y23" s="429">
        <v>0.07162154679989269</v>
      </c>
      <c r="Z23" s="430">
        <v>221714.9548649006</v>
      </c>
    </row>
    <row r="24" spans="1:26" s="385" customFormat="1" ht="11.25" customHeight="1">
      <c r="A24" s="420">
        <v>27000</v>
      </c>
      <c r="B24" s="421" t="s">
        <v>133</v>
      </c>
      <c r="C24" s="422"/>
      <c r="D24" s="423">
        <v>0.022907375775942106</v>
      </c>
      <c r="E24" s="424"/>
      <c r="F24" s="423">
        <v>0</v>
      </c>
      <c r="G24" s="397"/>
      <c r="H24" s="423">
        <v>0.049597728335313084</v>
      </c>
      <c r="J24" s="425">
        <v>0.046435161981866126</v>
      </c>
      <c r="K24" s="397"/>
      <c r="L24" s="423">
        <v>0.056475081729951485</v>
      </c>
      <c r="M24" s="431"/>
      <c r="N24" s="427">
        <v>0.0533930382251107</v>
      </c>
      <c r="P24" s="431"/>
      <c r="Q24" s="397">
        <v>0.04391777654115085</v>
      </c>
      <c r="R24" s="431"/>
      <c r="S24" s="428">
        <v>0.009157049054150091</v>
      </c>
      <c r="T24" s="431"/>
      <c r="U24" s="428">
        <v>0.03326638455516088</v>
      </c>
      <c r="V24" s="431"/>
      <c r="W24" s="427">
        <v>0.03769166287574292</v>
      </c>
      <c r="Y24" s="429">
        <v>0.037758528465054064</v>
      </c>
      <c r="Z24" s="430">
        <v>116887.03760873075</v>
      </c>
    </row>
    <row r="25" spans="1:26" s="385" customFormat="1" ht="11.25" customHeight="1">
      <c r="A25" s="420">
        <v>28000</v>
      </c>
      <c r="B25" s="421" t="s">
        <v>134</v>
      </c>
      <c r="C25" s="422"/>
      <c r="D25" s="423">
        <v>0.010664940118047092</v>
      </c>
      <c r="E25" s="424"/>
      <c r="F25" s="423">
        <v>0.04194508459658834</v>
      </c>
      <c r="G25" s="397"/>
      <c r="H25" s="423">
        <v>0.007418260060267225</v>
      </c>
      <c r="J25" s="425">
        <v>0.01103795155001992</v>
      </c>
      <c r="K25" s="397"/>
      <c r="L25" s="423">
        <v>0.022414545472423983</v>
      </c>
      <c r="M25" s="431"/>
      <c r="N25" s="427">
        <v>0.04872108269741999</v>
      </c>
      <c r="P25" s="431"/>
      <c r="Q25" s="397">
        <v>0.02677470936915611</v>
      </c>
      <c r="R25" s="431"/>
      <c r="S25" s="428">
        <v>0.016732086203770983</v>
      </c>
      <c r="T25" s="431"/>
      <c r="U25" s="428">
        <v>0.024865409352241873</v>
      </c>
      <c r="V25" s="431"/>
      <c r="W25" s="427">
        <v>0.010972915224865067</v>
      </c>
      <c r="Y25" s="429">
        <v>0.02555865529184465</v>
      </c>
      <c r="Z25" s="430">
        <v>79120.54901957772</v>
      </c>
    </row>
    <row r="26" spans="1:26" s="385" customFormat="1" ht="11.25" customHeight="1">
      <c r="A26" s="420">
        <v>31000</v>
      </c>
      <c r="B26" s="421" t="s">
        <v>135</v>
      </c>
      <c r="C26" s="422"/>
      <c r="D26" s="423">
        <v>0.013279570564738625</v>
      </c>
      <c r="E26" s="424"/>
      <c r="F26" s="423">
        <v>0</v>
      </c>
      <c r="G26" s="397"/>
      <c r="H26" s="423">
        <v>0.014376927519537803</v>
      </c>
      <c r="J26" s="425">
        <v>0.04388169611361212</v>
      </c>
      <c r="K26" s="397"/>
      <c r="L26" s="423">
        <v>0.03822752506678515</v>
      </c>
      <c r="M26" s="431"/>
      <c r="N26" s="427">
        <v>0.03767267221505806</v>
      </c>
      <c r="P26" s="431"/>
      <c r="Q26" s="397">
        <v>0.11907230784014278</v>
      </c>
      <c r="R26" s="431"/>
      <c r="S26" s="428">
        <v>0.004436302425010319</v>
      </c>
      <c r="T26" s="431"/>
      <c r="U26" s="428">
        <v>0.05943375066969879</v>
      </c>
      <c r="V26" s="431"/>
      <c r="W26" s="427">
        <v>0.058517489587192086</v>
      </c>
      <c r="Y26" s="429">
        <v>0.034235188702819115</v>
      </c>
      <c r="Z26" s="430">
        <v>105980.02496712719</v>
      </c>
    </row>
    <row r="27" spans="1:26" s="385" customFormat="1" ht="11.25" customHeight="1">
      <c r="A27" s="420">
        <v>41000</v>
      </c>
      <c r="B27" s="421" t="s">
        <v>136</v>
      </c>
      <c r="C27" s="422"/>
      <c r="D27" s="423">
        <v>0.01881359022062055</v>
      </c>
      <c r="E27" s="424"/>
      <c r="F27" s="423">
        <v>0</v>
      </c>
      <c r="G27" s="397"/>
      <c r="H27" s="423">
        <v>0.022920652441469184</v>
      </c>
      <c r="J27" s="425">
        <v>0.02807505678677948</v>
      </c>
      <c r="K27" s="397"/>
      <c r="L27" s="423">
        <v>0.030073984828168743</v>
      </c>
      <c r="M27" s="431"/>
      <c r="N27" s="427">
        <v>0.060006313127393865</v>
      </c>
      <c r="P27" s="431"/>
      <c r="Q27" s="397">
        <v>0.03109081925896386</v>
      </c>
      <c r="R27" s="431"/>
      <c r="S27" s="428">
        <v>0.006312046691163008</v>
      </c>
      <c r="T27" s="431"/>
      <c r="U27" s="428">
        <v>0.0542245009044056</v>
      </c>
      <c r="V27" s="431"/>
      <c r="W27" s="427">
        <v>0.05404600165326564</v>
      </c>
      <c r="Y27" s="429">
        <v>0.040025099224906074</v>
      </c>
      <c r="Z27" s="430">
        <v>123903.53831518358</v>
      </c>
    </row>
    <row r="28" spans="1:26" s="385" customFormat="1" ht="11.25" customHeight="1">
      <c r="A28" s="420">
        <v>43000</v>
      </c>
      <c r="B28" s="421" t="s">
        <v>137</v>
      </c>
      <c r="C28" s="422"/>
      <c r="D28" s="423">
        <v>0.018670007496309246</v>
      </c>
      <c r="E28" s="424"/>
      <c r="F28" s="423">
        <v>0</v>
      </c>
      <c r="G28" s="397"/>
      <c r="H28" s="423">
        <v>0.03139604131653334</v>
      </c>
      <c r="J28" s="425">
        <v>0.03050776011355668</v>
      </c>
      <c r="K28" s="397"/>
      <c r="L28" s="423">
        <v>0.029813087286434788</v>
      </c>
      <c r="M28" s="431"/>
      <c r="N28" s="427">
        <v>0.037189367262301855</v>
      </c>
      <c r="P28" s="431"/>
      <c r="Q28" s="397">
        <v>0.019679096916904282</v>
      </c>
      <c r="R28" s="431"/>
      <c r="S28" s="428">
        <v>0.010908872522082952</v>
      </c>
      <c r="T28" s="431"/>
      <c r="U28" s="428">
        <v>0.027831031124484252</v>
      </c>
      <c r="V28" s="431"/>
      <c r="W28" s="427">
        <v>0.020291342130192347</v>
      </c>
      <c r="Y28" s="429">
        <v>0.026466515507332266</v>
      </c>
      <c r="Z28" s="430">
        <v>81930.9628642111</v>
      </c>
    </row>
    <row r="29" spans="1:26" s="385" customFormat="1" ht="11.25" customHeight="1">
      <c r="A29" s="420">
        <v>51000</v>
      </c>
      <c r="B29" s="421" t="s">
        <v>138</v>
      </c>
      <c r="C29" s="422"/>
      <c r="D29" s="423">
        <v>0.002766853682031714</v>
      </c>
      <c r="E29" s="424"/>
      <c r="F29" s="423">
        <v>0.2365963721709457</v>
      </c>
      <c r="G29" s="432"/>
      <c r="H29" s="423">
        <v>0.00663223516297323</v>
      </c>
      <c r="J29" s="425">
        <v>0.0029107546813866665</v>
      </c>
      <c r="K29" s="397"/>
      <c r="L29" s="423">
        <v>0.02491583248370688</v>
      </c>
      <c r="M29" s="431"/>
      <c r="N29" s="427">
        <v>0.015849674023216246</v>
      </c>
      <c r="P29" s="431"/>
      <c r="Q29" s="397">
        <v>0.006555439980208179</v>
      </c>
      <c r="R29" s="431"/>
      <c r="S29" s="428">
        <v>0.010250810813795246</v>
      </c>
      <c r="T29" s="431"/>
      <c r="U29" s="428">
        <v>0.01178857023326183</v>
      </c>
      <c r="V29" s="431"/>
      <c r="W29" s="427">
        <v>0.020223054698287612</v>
      </c>
      <c r="Y29" s="429">
        <v>0.014781885057923428</v>
      </c>
      <c r="Z29" s="430">
        <v>45759.48335202043</v>
      </c>
    </row>
    <row r="30" spans="1:26" s="385" customFormat="1" ht="11.25" customHeight="1">
      <c r="A30" s="420">
        <v>52000</v>
      </c>
      <c r="B30" s="421" t="s">
        <v>139</v>
      </c>
      <c r="C30" s="422"/>
      <c r="D30" s="423">
        <v>0.00016624684378681626</v>
      </c>
      <c r="E30" s="424"/>
      <c r="F30" s="423">
        <v>0.109545150992268</v>
      </c>
      <c r="G30" s="432"/>
      <c r="H30" s="423">
        <v>0.0012887358357864035</v>
      </c>
      <c r="J30" s="425">
        <v>0.0006818286367515908</v>
      </c>
      <c r="K30" s="397"/>
      <c r="L30" s="423">
        <v>0.0043450154870761995</v>
      </c>
      <c r="M30" s="431"/>
      <c r="N30" s="427">
        <v>0.003319099861658256</v>
      </c>
      <c r="P30" s="431"/>
      <c r="Q30" s="397">
        <v>0.0010631251255124358</v>
      </c>
      <c r="R30" s="431"/>
      <c r="S30" s="428">
        <v>0</v>
      </c>
      <c r="T30" s="431"/>
      <c r="U30" s="428">
        <v>0.003649553886505874</v>
      </c>
      <c r="V30" s="431"/>
      <c r="W30" s="427">
        <v>0.0038129976755542387</v>
      </c>
      <c r="Y30" s="429">
        <v>0.0039870249827989885</v>
      </c>
      <c r="Z30" s="430">
        <v>12342.417939901758</v>
      </c>
    </row>
    <row r="31" spans="1:26" s="385" customFormat="1" ht="11.25" customHeight="1">
      <c r="A31" s="420">
        <v>53000</v>
      </c>
      <c r="B31" s="421" t="s">
        <v>140</v>
      </c>
      <c r="C31" s="422"/>
      <c r="D31" s="423">
        <v>0.0006536038135024679</v>
      </c>
      <c r="E31" s="424"/>
      <c r="F31" s="423">
        <v>0.12139600776675043</v>
      </c>
      <c r="G31" s="432"/>
      <c r="H31" s="423">
        <v>0.00045746968521215655</v>
      </c>
      <c r="J31" s="425">
        <v>0.0022108261890035285</v>
      </c>
      <c r="K31" s="397"/>
      <c r="L31" s="423">
        <v>0.0031653035608201255</v>
      </c>
      <c r="M31" s="431"/>
      <c r="N31" s="427">
        <v>0.004239633133550595</v>
      </c>
      <c r="P31" s="431"/>
      <c r="Q31" s="397">
        <v>0.0016841097453889758</v>
      </c>
      <c r="R31" s="431"/>
      <c r="S31" s="428">
        <v>0.0029732809573615646</v>
      </c>
      <c r="T31" s="431"/>
      <c r="U31" s="428">
        <v>0.007873592599230704</v>
      </c>
      <c r="V31" s="431"/>
      <c r="W31" s="427">
        <v>0.00769142184901323</v>
      </c>
      <c r="Y31" s="429">
        <v>0.005599457206209745</v>
      </c>
      <c r="Z31" s="430">
        <v>17333.937302574373</v>
      </c>
    </row>
    <row r="32" spans="1:26" s="385" customFormat="1" ht="11.25" customHeight="1">
      <c r="A32" s="420">
        <v>54000</v>
      </c>
      <c r="B32" s="421" t="s">
        <v>141</v>
      </c>
      <c r="C32" s="422"/>
      <c r="D32" s="423">
        <v>0.0008510168559161327</v>
      </c>
      <c r="E32" s="424"/>
      <c r="F32" s="423">
        <v>0.1865023759616758</v>
      </c>
      <c r="G32" s="432"/>
      <c r="H32" s="423">
        <v>0.00047380699843517114</v>
      </c>
      <c r="J32" s="425">
        <v>0.0018453886105349918</v>
      </c>
      <c r="K32" s="397"/>
      <c r="L32" s="423">
        <v>0.010690504000080566</v>
      </c>
      <c r="M32" s="431"/>
      <c r="N32" s="427">
        <v>0.00983682470681385</v>
      </c>
      <c r="P32" s="431"/>
      <c r="Q32" s="397">
        <v>0.0040657073052234784</v>
      </c>
      <c r="R32" s="431"/>
      <c r="S32" s="428">
        <v>0.0005732565038197651</v>
      </c>
      <c r="T32" s="431"/>
      <c r="U32" s="428">
        <v>0.007311432347315991</v>
      </c>
      <c r="V32" s="431"/>
      <c r="W32" s="427">
        <v>0.0027570547176830754</v>
      </c>
      <c r="Y32" s="429">
        <v>0.008066579742920727</v>
      </c>
      <c r="Z32" s="430">
        <v>24971.275314853578</v>
      </c>
    </row>
    <row r="33" spans="1:26" s="385" customFormat="1" ht="11.25" customHeight="1">
      <c r="A33" s="420">
        <v>55000</v>
      </c>
      <c r="B33" s="421" t="s">
        <v>142</v>
      </c>
      <c r="C33" s="433"/>
      <c r="D33" s="423">
        <v>0</v>
      </c>
      <c r="E33" s="424"/>
      <c r="F33" s="423">
        <v>0</v>
      </c>
      <c r="G33" s="397"/>
      <c r="H33" s="423">
        <v>7.080059930372472E-05</v>
      </c>
      <c r="J33" s="425">
        <v>0.00281850357405748</v>
      </c>
      <c r="K33" s="397"/>
      <c r="L33" s="423">
        <v>0.0023496409599107287</v>
      </c>
      <c r="M33" s="431"/>
      <c r="N33" s="427">
        <v>0.004828968206455831</v>
      </c>
      <c r="P33" s="431"/>
      <c r="Q33" s="397">
        <v>0.001511549263628289</v>
      </c>
      <c r="R33" s="431"/>
      <c r="S33" s="428">
        <v>0</v>
      </c>
      <c r="T33" s="431"/>
      <c r="U33" s="428">
        <v>0.005603589226357968</v>
      </c>
      <c r="V33" s="431"/>
      <c r="W33" s="427">
        <v>0.0009845513773476657</v>
      </c>
      <c r="Y33" s="429">
        <v>0.002435284234131177</v>
      </c>
      <c r="Z33" s="430">
        <v>7538.777898251241</v>
      </c>
    </row>
    <row r="34" spans="1:26" s="385" customFormat="1" ht="11.25" customHeight="1" thickBot="1">
      <c r="A34" s="434">
        <v>56000</v>
      </c>
      <c r="B34" s="435" t="s">
        <v>143</v>
      </c>
      <c r="C34" s="436"/>
      <c r="D34" s="437">
        <v>4.2294546999798326E-05</v>
      </c>
      <c r="E34" s="438"/>
      <c r="F34" s="437">
        <v>0</v>
      </c>
      <c r="G34" s="439"/>
      <c r="H34" s="437">
        <v>0</v>
      </c>
      <c r="I34" s="440"/>
      <c r="J34" s="441">
        <v>0.0012228787958242268</v>
      </c>
      <c r="K34" s="397"/>
      <c r="L34" s="437">
        <v>0.0012716869275743274</v>
      </c>
      <c r="M34" s="442"/>
      <c r="N34" s="443">
        <v>0.0012530810156220686</v>
      </c>
      <c r="P34" s="442"/>
      <c r="Q34" s="439">
        <v>0.0007908975516173913</v>
      </c>
      <c r="R34" s="442"/>
      <c r="S34" s="444">
        <v>0</v>
      </c>
      <c r="T34" s="442"/>
      <c r="U34" s="444">
        <v>0.0006100043951391637</v>
      </c>
      <c r="V34" s="442"/>
      <c r="W34" s="443">
        <v>0.0001618237355460583</v>
      </c>
      <c r="Y34" s="445">
        <v>0.0005762173751039385</v>
      </c>
      <c r="Z34" s="446">
        <v>1783.7650123710068</v>
      </c>
    </row>
    <row r="35" spans="5:25" ht="8.25" customHeight="1">
      <c r="E35" s="447"/>
      <c r="G35" s="447"/>
      <c r="H35" s="382"/>
      <c r="I35" s="447"/>
      <c r="J35" s="382"/>
      <c r="K35" s="382"/>
      <c r="L35" s="382"/>
      <c r="P35" s="447"/>
      <c r="Q35" s="447"/>
      <c r="R35" s="447"/>
      <c r="S35" s="447"/>
      <c r="T35" s="447"/>
      <c r="U35" s="447"/>
      <c r="V35" s="447"/>
      <c r="Y35" s="448"/>
    </row>
  </sheetData>
  <sheetProtection/>
  <mergeCells count="16">
    <mergeCell ref="A4:B6"/>
    <mergeCell ref="C4:J4"/>
    <mergeCell ref="L4:N4"/>
    <mergeCell ref="P4:W4"/>
    <mergeCell ref="Y4:Y6"/>
    <mergeCell ref="Z4:Z6"/>
    <mergeCell ref="C5:D6"/>
    <mergeCell ref="E5:F6"/>
    <mergeCell ref="G5:H6"/>
    <mergeCell ref="I5:J6"/>
    <mergeCell ref="L5:L6"/>
    <mergeCell ref="M5:N6"/>
    <mergeCell ref="P5:Q6"/>
    <mergeCell ref="R5:S6"/>
    <mergeCell ref="T5:U6"/>
    <mergeCell ref="V5:W6"/>
  </mergeCells>
  <printOptions horizontalCentered="1"/>
  <pageMargins left="0.5905511811023623" right="0.5905511811023623" top="0.984251968503937" bottom="0.5511811023622047" header="0.6692913385826772" footer="0.1968503937007874"/>
  <pageSetup fitToHeight="14" fitToWidth="1" horizontalDpi="600" verticalDpi="600" orientation="landscape" paperSize="9" scale="74" r:id="rId3"/>
  <headerFooter alignWithMargins="0">
    <oddHeader>&amp;R&amp;"Arial,Kurzíva"Kapitola B.3.I.1
&amp;"Arial,Tučné"Tabulka č. 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="85" zoomScaleNormal="85" workbookViewId="0" topLeftCell="A1">
      <selection activeCell="R15" sqref="R15"/>
    </sheetView>
  </sheetViews>
  <sheetFormatPr defaultColWidth="9.140625" defaultRowHeight="12.75"/>
  <cols>
    <col min="1" max="16384" width="9.140625" style="199" customWidth="1"/>
  </cols>
  <sheetData>
    <row r="1" spans="1:16" ht="42" customHeight="1">
      <c r="A1" s="713" t="s">
        <v>263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</row>
    <row r="3" spans="1:16" ht="13.5" thickBot="1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spans="1:18" s="345" customFormat="1" ht="39" thickBot="1">
      <c r="A4" s="714" t="s">
        <v>264</v>
      </c>
      <c r="B4" s="715"/>
      <c r="C4" s="715"/>
      <c r="D4" s="716"/>
      <c r="E4" s="450">
        <v>2000</v>
      </c>
      <c r="F4" s="451">
        <v>2001</v>
      </c>
      <c r="G4" s="451">
        <v>2002</v>
      </c>
      <c r="H4" s="451">
        <v>2003</v>
      </c>
      <c r="I4" s="452">
        <v>2004</v>
      </c>
      <c r="J4" s="453" t="s">
        <v>265</v>
      </c>
      <c r="K4" s="454">
        <v>2005</v>
      </c>
      <c r="L4" s="454">
        <v>2006</v>
      </c>
      <c r="M4" s="454">
        <v>2007</v>
      </c>
      <c r="N4" s="454">
        <v>2008</v>
      </c>
      <c r="O4" s="455" t="s">
        <v>266</v>
      </c>
      <c r="P4" s="455" t="s">
        <v>267</v>
      </c>
      <c r="Q4" s="456">
        <v>2011</v>
      </c>
      <c r="R4" s="457">
        <v>2012</v>
      </c>
    </row>
    <row r="5" spans="1:18" s="345" customFormat="1" ht="24.75" customHeight="1">
      <c r="A5" s="717" t="s">
        <v>268</v>
      </c>
      <c r="B5" s="718"/>
      <c r="C5" s="718"/>
      <c r="D5" s="719"/>
      <c r="E5" s="458">
        <v>187106</v>
      </c>
      <c r="F5" s="459">
        <v>192008</v>
      </c>
      <c r="G5" s="459">
        <v>204822</v>
      </c>
      <c r="H5" s="459">
        <v>224577</v>
      </c>
      <c r="I5" s="460">
        <v>248498</v>
      </c>
      <c r="J5" s="461">
        <v>248498</v>
      </c>
      <c r="K5" s="459">
        <v>271235</v>
      </c>
      <c r="L5" s="459">
        <v>296377</v>
      </c>
      <c r="M5" s="459">
        <v>325541</v>
      </c>
      <c r="N5" s="459">
        <v>352950</v>
      </c>
      <c r="O5" s="459">
        <v>378892</v>
      </c>
      <c r="P5" s="462">
        <v>398119</v>
      </c>
      <c r="Q5" s="462">
        <v>408231</v>
      </c>
      <c r="R5" s="463">
        <v>404691</v>
      </c>
    </row>
    <row r="6" spans="1:18" s="345" customFormat="1" ht="13.5" thickBot="1">
      <c r="A6" s="720" t="s">
        <v>269</v>
      </c>
      <c r="B6" s="721"/>
      <c r="C6" s="721"/>
      <c r="D6" s="722"/>
      <c r="E6" s="464"/>
      <c r="F6" s="465">
        <f>F5/E5*100-100</f>
        <v>2.619905294325136</v>
      </c>
      <c r="G6" s="465">
        <f>G5/F5*100-100</f>
        <v>6.673680263322353</v>
      </c>
      <c r="H6" s="465">
        <f>H5/G5*100-100</f>
        <v>9.644960014060985</v>
      </c>
      <c r="I6" s="466">
        <f>I5/H5*100-100</f>
        <v>10.65158052694622</v>
      </c>
      <c r="J6" s="467">
        <f>J5/H5*100-100</f>
        <v>10.65158052694622</v>
      </c>
      <c r="K6" s="465">
        <f aca="true" t="shared" si="0" ref="K6:R6">K5/J5*100-100</f>
        <v>9.149771829149529</v>
      </c>
      <c r="L6" s="465">
        <f t="shared" si="0"/>
        <v>9.269452688627936</v>
      </c>
      <c r="M6" s="465">
        <f t="shared" si="0"/>
        <v>9.840169783755144</v>
      </c>
      <c r="N6" s="465">
        <f t="shared" si="0"/>
        <v>8.419523193699092</v>
      </c>
      <c r="O6" s="465">
        <f t="shared" si="0"/>
        <v>7.350049582093774</v>
      </c>
      <c r="P6" s="465">
        <f t="shared" si="0"/>
        <v>5.074533112338074</v>
      </c>
      <c r="Q6" s="465">
        <f t="shared" si="0"/>
        <v>2.539944087069429</v>
      </c>
      <c r="R6" s="468">
        <f t="shared" si="0"/>
        <v>-0.8671560954459636</v>
      </c>
    </row>
    <row r="7" spans="1:18" s="345" customFormat="1" ht="25.5" customHeight="1">
      <c r="A7" s="723" t="s">
        <v>270</v>
      </c>
      <c r="B7" s="724"/>
      <c r="C7" s="724"/>
      <c r="D7" s="725"/>
      <c r="E7" s="469">
        <v>178182.34</v>
      </c>
      <c r="F7" s="470">
        <v>191721.37</v>
      </c>
      <c r="G7" s="470">
        <v>199323.60499999984</v>
      </c>
      <c r="H7" s="470">
        <v>209586.01</v>
      </c>
      <c r="I7" s="471">
        <v>225673.92</v>
      </c>
      <c r="J7" s="461">
        <v>230458</v>
      </c>
      <c r="K7" s="470">
        <v>245292</v>
      </c>
      <c r="L7" s="470">
        <v>261365</v>
      </c>
      <c r="M7" s="470">
        <v>280755</v>
      </c>
      <c r="N7" s="470">
        <v>297928.5</v>
      </c>
      <c r="O7" s="470">
        <v>305619</v>
      </c>
      <c r="P7" s="470">
        <v>315673.5</v>
      </c>
      <c r="Q7" s="470">
        <v>317175.75604907185</v>
      </c>
      <c r="R7" s="472">
        <v>319191</v>
      </c>
    </row>
    <row r="8" spans="1:18" s="345" customFormat="1" ht="13.5" customHeight="1" thickBot="1">
      <c r="A8" s="726" t="s">
        <v>271</v>
      </c>
      <c r="B8" s="727"/>
      <c r="C8" s="727"/>
      <c r="D8" s="728"/>
      <c r="E8" s="473"/>
      <c r="F8" s="474">
        <f>F7/E7*100-100</f>
        <v>7.5984129515865675</v>
      </c>
      <c r="G8" s="474">
        <f>G7/F7*100-100</f>
        <v>3.965251760927771</v>
      </c>
      <c r="H8" s="474">
        <f>H7/G7*100-100</f>
        <v>5.148614987171342</v>
      </c>
      <c r="I8" s="475">
        <f>I7/H7*100-100</f>
        <v>7.6760419266534115</v>
      </c>
      <c r="J8" s="476">
        <f>J7/H7*100-100</f>
        <v>9.958675199742586</v>
      </c>
      <c r="K8" s="474">
        <f aca="true" t="shared" si="1" ref="K8:R8">K7/J7*100-100</f>
        <v>6.4367476937229355</v>
      </c>
      <c r="L8" s="474">
        <f t="shared" si="1"/>
        <v>6.552598535622849</v>
      </c>
      <c r="M8" s="474">
        <f t="shared" si="1"/>
        <v>7.418743902205733</v>
      </c>
      <c r="N8" s="474">
        <f t="shared" si="1"/>
        <v>6.116899075706584</v>
      </c>
      <c r="O8" s="474">
        <f t="shared" si="1"/>
        <v>2.5813240425135717</v>
      </c>
      <c r="P8" s="474">
        <f t="shared" si="1"/>
        <v>3.289880537532028</v>
      </c>
      <c r="Q8" s="474">
        <f t="shared" si="1"/>
        <v>0.4758891858429166</v>
      </c>
      <c r="R8" s="477">
        <f t="shared" si="1"/>
        <v>0.6353713713908036</v>
      </c>
    </row>
    <row r="9" spans="1:16" ht="12.75">
      <c r="A9" s="449"/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</row>
    <row r="10" spans="1:16" ht="12.75">
      <c r="A10" s="478" t="s">
        <v>272</v>
      </c>
      <c r="B10" s="449" t="s">
        <v>273</v>
      </c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</row>
    <row r="11" spans="2:16" ht="12.75">
      <c r="B11" s="479" t="s">
        <v>274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</row>
    <row r="12" spans="2:16" ht="12.75">
      <c r="B12" s="479" t="s">
        <v>275</v>
      </c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49"/>
    </row>
    <row r="13" spans="2:16" ht="12.75">
      <c r="B13" s="479" t="s">
        <v>276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49"/>
    </row>
    <row r="14" spans="2:16" ht="12.75" customHeight="1">
      <c r="B14" s="479" t="s">
        <v>277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49"/>
    </row>
    <row r="15" spans="2:16" ht="12.75">
      <c r="B15" s="481" t="s">
        <v>278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</row>
    <row r="16" ht="12.75">
      <c r="B16" s="481" t="s">
        <v>279</v>
      </c>
    </row>
  </sheetData>
  <sheetProtection/>
  <mergeCells count="6">
    <mergeCell ref="A1:P1"/>
    <mergeCell ref="A4:D4"/>
    <mergeCell ref="A5:D5"/>
    <mergeCell ref="A6:D6"/>
    <mergeCell ref="A7:D7"/>
    <mergeCell ref="A8:D8"/>
  </mergeCells>
  <printOptions horizontalCentered="1"/>
  <pageMargins left="0.5905511811023623" right="0.6299212598425197" top="0.7086614173228347" bottom="0.6692913385826772" header="0.4724409448818898" footer="0.15748031496062992"/>
  <pageSetup fitToHeight="28" fitToWidth="1" horizontalDpi="600" verticalDpi="600" orientation="landscape" paperSize="9" scale="82" r:id="rId2"/>
  <headerFooter alignWithMargins="0">
    <oddHeader xml:space="preserve">&amp;R&amp;"Arial,Kurzíva"&amp;12Kapitola B.3.I.1
&amp;"Arial,Tučné"Tabulka č.6   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9.140625" style="199" customWidth="1"/>
    <col min="2" max="2" width="25.421875" style="199" customWidth="1"/>
    <col min="3" max="3" width="14.7109375" style="199" customWidth="1"/>
    <col min="4" max="9" width="12.140625" style="199" customWidth="1"/>
    <col min="10" max="11" width="14.28125" style="199" customWidth="1"/>
    <col min="12" max="16384" width="9.140625" style="199" customWidth="1"/>
  </cols>
  <sheetData>
    <row r="1" spans="1:11" ht="23.25">
      <c r="A1" s="741" t="s">
        <v>280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</row>
    <row r="2" spans="1:11" ht="12.75">
      <c r="A2" s="204"/>
      <c r="B2" s="204"/>
      <c r="C2" s="204"/>
      <c r="D2" s="204"/>
      <c r="E2" s="204"/>
      <c r="F2" s="204"/>
      <c r="G2" s="204"/>
      <c r="H2" s="204"/>
      <c r="I2" s="204"/>
      <c r="J2" s="200"/>
      <c r="K2" s="200"/>
    </row>
    <row r="3" spans="1:11" s="345" customFormat="1" ht="12.75">
      <c r="A3" s="482" t="s">
        <v>281</v>
      </c>
      <c r="B3" s="344"/>
      <c r="C3" s="344"/>
      <c r="D3" s="344"/>
      <c r="E3" s="344"/>
      <c r="F3" s="344"/>
      <c r="G3" s="163"/>
      <c r="H3" s="163"/>
      <c r="I3" s="344"/>
      <c r="J3" s="163"/>
      <c r="K3" s="163"/>
    </row>
    <row r="4" spans="1:11" s="345" customFormat="1" ht="14.25" customHeight="1">
      <c r="A4" s="742" t="s">
        <v>282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</row>
    <row r="5" spans="1:11" s="345" customFormat="1" ht="12.75">
      <c r="A5" s="742" t="s">
        <v>283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</row>
    <row r="6" spans="1:11" s="345" customFormat="1" ht="12.75">
      <c r="A6" s="742" t="s">
        <v>284</v>
      </c>
      <c r="B6" s="742"/>
      <c r="C6" s="742"/>
      <c r="D6" s="742"/>
      <c r="E6" s="742"/>
      <c r="F6" s="742"/>
      <c r="G6" s="742"/>
      <c r="H6" s="742"/>
      <c r="I6" s="742"/>
      <c r="J6" s="742"/>
      <c r="K6" s="742"/>
    </row>
    <row r="7" spans="1:11" ht="15" thickBot="1">
      <c r="A7" s="483"/>
      <c r="B7" s="483"/>
      <c r="C7" s="483"/>
      <c r="D7" s="205"/>
      <c r="E7" s="483"/>
      <c r="F7" s="483"/>
      <c r="G7" s="161"/>
      <c r="H7" s="161"/>
      <c r="I7" s="204"/>
      <c r="J7" s="200"/>
      <c r="K7" s="200"/>
    </row>
    <row r="8" spans="1:11" ht="15.75" thickBot="1">
      <c r="A8" s="743" t="s">
        <v>285</v>
      </c>
      <c r="B8" s="746" t="s">
        <v>286</v>
      </c>
      <c r="C8" s="746"/>
      <c r="D8" s="746"/>
      <c r="E8" s="746"/>
      <c r="F8" s="746"/>
      <c r="G8" s="746"/>
      <c r="H8" s="746"/>
      <c r="I8" s="746"/>
      <c r="J8" s="747"/>
      <c r="K8" s="748"/>
    </row>
    <row r="9" spans="1:11" ht="12.75">
      <c r="A9" s="744"/>
      <c r="B9" s="749" t="s">
        <v>287</v>
      </c>
      <c r="C9" s="731" t="s">
        <v>288</v>
      </c>
      <c r="D9" s="731" t="s">
        <v>289</v>
      </c>
      <c r="E9" s="735" t="s">
        <v>290</v>
      </c>
      <c r="F9" s="731" t="s">
        <v>291</v>
      </c>
      <c r="G9" s="733" t="s">
        <v>292</v>
      </c>
      <c r="H9" s="735" t="s">
        <v>293</v>
      </c>
      <c r="I9" s="737" t="s">
        <v>294</v>
      </c>
      <c r="J9" s="739" t="s">
        <v>295</v>
      </c>
      <c r="K9" s="739" t="s">
        <v>296</v>
      </c>
    </row>
    <row r="10" spans="1:13" ht="40.5" customHeight="1" thickBot="1">
      <c r="A10" s="745"/>
      <c r="B10" s="750"/>
      <c r="C10" s="732"/>
      <c r="D10" s="732"/>
      <c r="E10" s="736"/>
      <c r="F10" s="732"/>
      <c r="G10" s="734"/>
      <c r="H10" s="736"/>
      <c r="I10" s="738"/>
      <c r="J10" s="740"/>
      <c r="K10" s="740"/>
      <c r="M10" s="199" t="s">
        <v>359</v>
      </c>
    </row>
    <row r="11" spans="1:11" ht="13.5" thickBot="1">
      <c r="A11" s="484">
        <v>1</v>
      </c>
      <c r="B11" s="485">
        <v>2</v>
      </c>
      <c r="C11" s="485">
        <v>3</v>
      </c>
      <c r="D11" s="485">
        <v>4</v>
      </c>
      <c r="E11" s="485">
        <v>5</v>
      </c>
      <c r="F11" s="485">
        <v>6</v>
      </c>
      <c r="G11" s="485">
        <v>7</v>
      </c>
      <c r="H11" s="485">
        <v>8</v>
      </c>
      <c r="I11" s="486">
        <v>9</v>
      </c>
      <c r="J11" s="487">
        <v>10</v>
      </c>
      <c r="K11" s="487">
        <v>11</v>
      </c>
    </row>
    <row r="12" spans="1:11" ht="12.75">
      <c r="A12" s="488">
        <v>2000</v>
      </c>
      <c r="B12" s="489">
        <v>8260660</v>
      </c>
      <c r="C12" s="489">
        <v>97158</v>
      </c>
      <c r="D12" s="489">
        <v>780003</v>
      </c>
      <c r="E12" s="489">
        <v>1841033</v>
      </c>
      <c r="F12" s="489">
        <v>2683064</v>
      </c>
      <c r="G12" s="490"/>
      <c r="H12" s="489">
        <v>1200</v>
      </c>
      <c r="I12" s="491">
        <v>0</v>
      </c>
      <c r="J12" s="492">
        <f aca="true" t="shared" si="0" ref="J12:J18">B12+C12+D12+E12+F12+H12</f>
        <v>13663118</v>
      </c>
      <c r="K12" s="493"/>
    </row>
    <row r="13" spans="1:11" ht="12.75">
      <c r="A13" s="494">
        <v>2001</v>
      </c>
      <c r="B13" s="250">
        <v>8958512</v>
      </c>
      <c r="C13" s="250">
        <v>248681</v>
      </c>
      <c r="D13" s="250">
        <v>782965</v>
      </c>
      <c r="E13" s="250">
        <v>2041823</v>
      </c>
      <c r="F13" s="250">
        <v>3331764.59</v>
      </c>
      <c r="G13" s="495">
        <f aca="true" t="shared" si="1" ref="G13:G20">SUM(F13/F12)</f>
        <v>1.2417760403777174</v>
      </c>
      <c r="H13" s="250">
        <v>7168</v>
      </c>
      <c r="I13" s="339">
        <v>45323</v>
      </c>
      <c r="J13" s="496">
        <f t="shared" si="0"/>
        <v>15370913.59</v>
      </c>
      <c r="K13" s="497">
        <f aca="true" t="shared" si="2" ref="K13:K20">J13/J12-1</f>
        <v>0.12499310845445377</v>
      </c>
    </row>
    <row r="14" spans="1:11" ht="12.75">
      <c r="A14" s="498">
        <v>2002</v>
      </c>
      <c r="B14" s="250">
        <v>10246278</v>
      </c>
      <c r="C14" s="258">
        <v>438218</v>
      </c>
      <c r="D14" s="258">
        <v>812872</v>
      </c>
      <c r="E14" s="250">
        <v>2622216</v>
      </c>
      <c r="F14" s="258">
        <v>3387981.99</v>
      </c>
      <c r="G14" s="499">
        <f t="shared" si="1"/>
        <v>1.0168731608976012</v>
      </c>
      <c r="H14" s="258">
        <v>6327</v>
      </c>
      <c r="I14" s="500">
        <v>233573</v>
      </c>
      <c r="J14" s="496">
        <f t="shared" si="0"/>
        <v>17513892.990000002</v>
      </c>
      <c r="K14" s="497">
        <f t="shared" si="2"/>
        <v>0.1394178288396717</v>
      </c>
    </row>
    <row r="15" spans="1:11" ht="12.75">
      <c r="A15" s="494">
        <v>2003</v>
      </c>
      <c r="B15" s="250">
        <v>12052573</v>
      </c>
      <c r="C15" s="250">
        <v>92672</v>
      </c>
      <c r="D15" s="250">
        <v>815910</v>
      </c>
      <c r="E15" s="250">
        <v>2619045</v>
      </c>
      <c r="F15" s="250">
        <v>3270175.53</v>
      </c>
      <c r="G15" s="495">
        <f t="shared" si="1"/>
        <v>0.965228132750493</v>
      </c>
      <c r="H15" s="250">
        <v>10708</v>
      </c>
      <c r="I15" s="339">
        <v>396675</v>
      </c>
      <c r="J15" s="496">
        <f t="shared" si="0"/>
        <v>18861083.53</v>
      </c>
      <c r="K15" s="497">
        <f t="shared" si="2"/>
        <v>0.07692124993393601</v>
      </c>
    </row>
    <row r="16" spans="1:11" ht="12.75">
      <c r="A16" s="494">
        <v>2004</v>
      </c>
      <c r="B16" s="250">
        <v>14040060</v>
      </c>
      <c r="C16" s="250">
        <v>103145</v>
      </c>
      <c r="D16" s="250">
        <v>812027</v>
      </c>
      <c r="E16" s="250">
        <v>2526196</v>
      </c>
      <c r="F16" s="250">
        <v>3282212.77</v>
      </c>
      <c r="G16" s="495">
        <f t="shared" si="1"/>
        <v>1.003680915562352</v>
      </c>
      <c r="H16" s="250">
        <v>17802</v>
      </c>
      <c r="I16" s="339">
        <v>713736</v>
      </c>
      <c r="J16" s="496">
        <f t="shared" si="0"/>
        <v>20781442.77</v>
      </c>
      <c r="K16" s="497">
        <f t="shared" si="2"/>
        <v>0.10181595542724353</v>
      </c>
    </row>
    <row r="17" spans="1:11" ht="12.75">
      <c r="A17" s="498">
        <v>2005</v>
      </c>
      <c r="B17" s="258">
        <v>16074723</v>
      </c>
      <c r="C17" s="258">
        <v>163156</v>
      </c>
      <c r="D17" s="258">
        <v>651419</v>
      </c>
      <c r="E17" s="258">
        <v>3555392</v>
      </c>
      <c r="F17" s="258">
        <v>4171199</v>
      </c>
      <c r="G17" s="499">
        <f t="shared" si="1"/>
        <v>1.2708496652397097</v>
      </c>
      <c r="H17" s="258">
        <v>19142</v>
      </c>
      <c r="I17" s="500">
        <v>465536</v>
      </c>
      <c r="J17" s="496">
        <f t="shared" si="0"/>
        <v>24635031</v>
      </c>
      <c r="K17" s="497">
        <f t="shared" si="2"/>
        <v>0.1854341044868657</v>
      </c>
    </row>
    <row r="18" spans="1:11" ht="12.75">
      <c r="A18" s="501">
        <v>2006</v>
      </c>
      <c r="B18" s="258">
        <v>17845271</v>
      </c>
      <c r="C18" s="258">
        <v>385608</v>
      </c>
      <c r="D18" s="258">
        <v>205437</v>
      </c>
      <c r="E18" s="258">
        <v>3487292</v>
      </c>
      <c r="F18" s="258">
        <v>4761132</v>
      </c>
      <c r="G18" s="499">
        <f t="shared" si="1"/>
        <v>1.1414300780183348</v>
      </c>
      <c r="H18" s="258">
        <v>35657</v>
      </c>
      <c r="I18" s="500">
        <f>233805+24111+32777</f>
        <v>290693</v>
      </c>
      <c r="J18" s="496">
        <f t="shared" si="0"/>
        <v>26720397</v>
      </c>
      <c r="K18" s="497">
        <f t="shared" si="2"/>
        <v>0.08465043133089623</v>
      </c>
    </row>
    <row r="19" spans="1:11" ht="12.75">
      <c r="A19" s="501">
        <v>2007</v>
      </c>
      <c r="B19" s="258">
        <v>18558335</v>
      </c>
      <c r="C19" s="258">
        <v>406451</v>
      </c>
      <c r="D19" s="258">
        <v>203865</v>
      </c>
      <c r="E19" s="258">
        <v>3805533</v>
      </c>
      <c r="F19" s="258">
        <v>5323545</v>
      </c>
      <c r="G19" s="499">
        <f t="shared" si="1"/>
        <v>1.1181258994709662</v>
      </c>
      <c r="H19" s="258">
        <v>28760</v>
      </c>
      <c r="I19" s="500">
        <v>838116</v>
      </c>
      <c r="J19" s="496">
        <f>B19+C19+D19+E19+F19+H19</f>
        <v>28326489</v>
      </c>
      <c r="K19" s="497">
        <f t="shared" si="2"/>
        <v>0.060107340471026616</v>
      </c>
    </row>
    <row r="20" spans="1:11" ht="12.75">
      <c r="A20" s="501">
        <v>2008</v>
      </c>
      <c r="B20" s="258">
        <v>19630805</v>
      </c>
      <c r="C20" s="258">
        <v>343695</v>
      </c>
      <c r="D20" s="258">
        <v>222664</v>
      </c>
      <c r="E20" s="258">
        <v>4730186</v>
      </c>
      <c r="F20" s="258">
        <v>5456757</v>
      </c>
      <c r="G20" s="499">
        <f t="shared" si="1"/>
        <v>1.0250231753465031</v>
      </c>
      <c r="H20" s="258">
        <v>57978</v>
      </c>
      <c r="I20" s="500"/>
      <c r="J20" s="496">
        <f>B20+C20+D20+E20+F20+H20</f>
        <v>30442085</v>
      </c>
      <c r="K20" s="497">
        <f t="shared" si="2"/>
        <v>0.07468613565203941</v>
      </c>
    </row>
    <row r="21" spans="1:11" ht="12.75">
      <c r="A21" s="501">
        <v>2009</v>
      </c>
      <c r="B21" s="258">
        <v>22137873</v>
      </c>
      <c r="C21" s="258">
        <v>676475</v>
      </c>
      <c r="D21" s="258">
        <v>216727</v>
      </c>
      <c r="E21" s="258">
        <v>3266133</v>
      </c>
      <c r="F21" s="258">
        <v>5809448</v>
      </c>
      <c r="G21" s="499">
        <f>SUM(F21/F20)</f>
        <v>1.0646338108880422</v>
      </c>
      <c r="H21" s="258">
        <v>37571</v>
      </c>
      <c r="I21" s="502">
        <f>30928+1114+113206</f>
        <v>145248</v>
      </c>
      <c r="J21" s="496">
        <f>B21+C21+D21+E21+F21+H21</f>
        <v>32144227</v>
      </c>
      <c r="K21" s="497">
        <f>J21/J20-1</f>
        <v>0.055914107065925256</v>
      </c>
    </row>
    <row r="22" spans="1:11" ht="12.75">
      <c r="A22" s="503">
        <v>2010</v>
      </c>
      <c r="B22" s="504">
        <v>21274539</v>
      </c>
      <c r="C22" s="505">
        <v>114404</v>
      </c>
      <c r="D22" s="505">
        <v>219496</v>
      </c>
      <c r="E22" s="505">
        <v>2523274</v>
      </c>
      <c r="F22" s="505">
        <v>6020713</v>
      </c>
      <c r="G22" s="506">
        <f>F22/F20</f>
        <v>1.103350030063644</v>
      </c>
      <c r="H22" s="505">
        <v>23155</v>
      </c>
      <c r="I22" s="507">
        <f>6595+53+151667</f>
        <v>158315</v>
      </c>
      <c r="J22" s="508">
        <f>B22+C22+D22+E22+F22+H22</f>
        <v>30175581</v>
      </c>
      <c r="K22" s="497">
        <f>J22/J21-1</f>
        <v>-0.061244154354684</v>
      </c>
    </row>
    <row r="23" spans="1:11" ht="13.5" thickBot="1">
      <c r="A23" s="509" t="s">
        <v>297</v>
      </c>
      <c r="B23" s="510">
        <v>20196264</v>
      </c>
      <c r="C23" s="511">
        <v>92938</v>
      </c>
      <c r="D23" s="511">
        <v>199832</v>
      </c>
      <c r="E23" s="511">
        <v>1515837</v>
      </c>
      <c r="F23" s="511">
        <v>6567809</v>
      </c>
      <c r="G23" s="512">
        <f>F23/F22</f>
        <v>1.0908689718310771</v>
      </c>
      <c r="H23" s="511">
        <v>43906</v>
      </c>
      <c r="I23" s="513">
        <f>40011+256692+317034</f>
        <v>613737</v>
      </c>
      <c r="J23" s="514">
        <f>B23+C23+D23+E23+F23+H23</f>
        <v>28616586</v>
      </c>
      <c r="K23" s="515">
        <f>J23/J22-1</f>
        <v>-0.051664125373426906</v>
      </c>
    </row>
    <row r="24" spans="1:11" ht="12.75">
      <c r="A24" s="204"/>
      <c r="B24" s="205"/>
      <c r="C24" s="205"/>
      <c r="D24" s="205"/>
      <c r="E24" s="516"/>
      <c r="F24" s="204"/>
      <c r="G24" s="204"/>
      <c r="H24" s="204"/>
      <c r="I24" s="204"/>
      <c r="J24" s="200"/>
      <c r="K24" s="200"/>
    </row>
    <row r="25" spans="1:11" ht="12.75">
      <c r="A25" s="729" t="s">
        <v>298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</row>
    <row r="26" spans="1:11" ht="28.5" customHeight="1">
      <c r="A26" s="730" t="s">
        <v>299</v>
      </c>
      <c r="B26" s="730"/>
      <c r="C26" s="730"/>
      <c r="D26" s="730"/>
      <c r="E26" s="730"/>
      <c r="F26" s="730"/>
      <c r="G26" s="730"/>
      <c r="H26" s="730"/>
      <c r="I26" s="730"/>
      <c r="J26" s="730"/>
      <c r="K26" s="730"/>
    </row>
    <row r="27" spans="1:11" ht="12.75">
      <c r="A27" s="517" t="s">
        <v>300</v>
      </c>
      <c r="B27" s="518"/>
      <c r="D27" s="205"/>
      <c r="E27" s="516"/>
      <c r="F27" s="204"/>
      <c r="G27" s="204"/>
      <c r="H27" s="204"/>
      <c r="I27" s="204"/>
      <c r="J27" s="200"/>
      <c r="K27" s="200"/>
    </row>
    <row r="28" spans="1:11" ht="13.5" customHeight="1">
      <c r="A28" s="204"/>
      <c r="B28" s="345"/>
      <c r="D28" s="205"/>
      <c r="E28" s="516"/>
      <c r="F28" s="204"/>
      <c r="G28" s="204"/>
      <c r="H28" s="204"/>
      <c r="I28" s="204"/>
      <c r="J28" s="200"/>
      <c r="K28" s="200"/>
    </row>
    <row r="29" spans="2:7" ht="12.75">
      <c r="B29" s="199" t="s">
        <v>301</v>
      </c>
      <c r="G29" s="199" t="s">
        <v>302</v>
      </c>
    </row>
    <row r="30" spans="2:9" ht="12.75">
      <c r="B30" s="199">
        <v>3752</v>
      </c>
      <c r="C30" s="199" t="s">
        <v>303</v>
      </c>
      <c r="H30" s="199">
        <v>2671.08</v>
      </c>
      <c r="I30" s="199" t="s">
        <v>303</v>
      </c>
    </row>
    <row r="31" spans="2:9" ht="12.75">
      <c r="B31" s="199">
        <v>522</v>
      </c>
      <c r="C31" s="199" t="s">
        <v>304</v>
      </c>
      <c r="H31" s="199">
        <v>154</v>
      </c>
      <c r="I31" s="199" t="s">
        <v>304</v>
      </c>
    </row>
    <row r="32" spans="2:9" ht="12.75">
      <c r="B32" s="199">
        <v>3958</v>
      </c>
      <c r="C32" s="199" t="s">
        <v>305</v>
      </c>
      <c r="H32" s="199">
        <v>4085.24</v>
      </c>
      <c r="I32" s="199" t="s">
        <v>305</v>
      </c>
    </row>
    <row r="33" spans="2:9" ht="12.75">
      <c r="B33" s="199">
        <v>813</v>
      </c>
      <c r="C33" s="199" t="s">
        <v>306</v>
      </c>
      <c r="H33" s="199">
        <v>1159</v>
      </c>
      <c r="I33" s="199" t="s">
        <v>306</v>
      </c>
    </row>
    <row r="34" spans="2:9" ht="12.75">
      <c r="B34" s="199">
        <v>550</v>
      </c>
      <c r="C34" s="199" t="s">
        <v>307</v>
      </c>
      <c r="H34" s="199">
        <v>240</v>
      </c>
      <c r="I34" s="199" t="s">
        <v>308</v>
      </c>
    </row>
    <row r="35" spans="2:9" ht="12.75">
      <c r="B35" s="199">
        <v>150</v>
      </c>
      <c r="C35" s="199" t="s">
        <v>309</v>
      </c>
      <c r="H35" s="199">
        <v>296.5</v>
      </c>
      <c r="I35" s="199" t="s">
        <v>307</v>
      </c>
    </row>
    <row r="36" spans="2:9" ht="12.75">
      <c r="B36" s="199">
        <v>113641</v>
      </c>
      <c r="C36" s="199" t="s">
        <v>310</v>
      </c>
      <c r="H36" s="199">
        <v>135</v>
      </c>
      <c r="I36" s="199" t="s">
        <v>309</v>
      </c>
    </row>
    <row r="37" spans="2:9" ht="12.75">
      <c r="B37" s="199">
        <v>553089</v>
      </c>
      <c r="C37" s="199" t="s">
        <v>311</v>
      </c>
      <c r="H37" s="199">
        <v>105663</v>
      </c>
      <c r="I37" s="199" t="s">
        <v>310</v>
      </c>
    </row>
    <row r="38" ht="12.75">
      <c r="H38" s="324"/>
    </row>
  </sheetData>
  <sheetProtection/>
  <mergeCells count="18">
    <mergeCell ref="A1:K1"/>
    <mergeCell ref="A4:K4"/>
    <mergeCell ref="A5:K5"/>
    <mergeCell ref="A6:K6"/>
    <mergeCell ref="A8:A10"/>
    <mergeCell ref="B8:K8"/>
    <mergeCell ref="B9:B10"/>
    <mergeCell ref="C9:C10"/>
    <mergeCell ref="D9:D10"/>
    <mergeCell ref="E9:E10"/>
    <mergeCell ref="A25:K25"/>
    <mergeCell ref="A26:K26"/>
    <mergeCell ref="F9:F10"/>
    <mergeCell ref="G9:G10"/>
    <mergeCell ref="H9:H10"/>
    <mergeCell ref="I9:I10"/>
    <mergeCell ref="J9:J10"/>
    <mergeCell ref="K9:K10"/>
  </mergeCells>
  <printOptions horizontalCentered="1"/>
  <pageMargins left="0.7874015748031497" right="0.5905511811023623" top="0.9448818897637796" bottom="0.5905511811023623" header="0.5905511811023623" footer="0.2755905511811024"/>
  <pageSetup fitToHeight="1" fitToWidth="1" horizontalDpi="300" verticalDpi="300" orientation="landscape" paperSize="9" scale="89" r:id="rId2"/>
  <headerFooter alignWithMargins="0">
    <oddHeader>&amp;R&amp;"Arial,Kurzíva"Kapitola B.3.I.1
&amp;"Arial,Tučné"Tabulka č.7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D8" sqref="D8:D9"/>
    </sheetView>
  </sheetViews>
  <sheetFormatPr defaultColWidth="9.140625" defaultRowHeight="12.75"/>
  <cols>
    <col min="1" max="1" width="9.140625" style="199" customWidth="1"/>
    <col min="2" max="2" width="16.00390625" style="199" customWidth="1"/>
    <col min="3" max="3" width="12.00390625" style="199" customWidth="1"/>
    <col min="4" max="4" width="10.7109375" style="199" customWidth="1"/>
    <col min="5" max="5" width="12.7109375" style="199" customWidth="1"/>
    <col min="6" max="6" width="12.28125" style="199" customWidth="1"/>
    <col min="7" max="7" width="12.57421875" style="199" customWidth="1"/>
    <col min="8" max="16384" width="9.140625" style="199" customWidth="1"/>
  </cols>
  <sheetData>
    <row r="1" spans="1:8" ht="53.25" customHeight="1">
      <c r="A1" s="753" t="s">
        <v>312</v>
      </c>
      <c r="B1" s="753"/>
      <c r="C1" s="753"/>
      <c r="D1" s="753"/>
      <c r="E1" s="753"/>
      <c r="F1" s="753"/>
      <c r="G1" s="753"/>
      <c r="H1" s="753"/>
    </row>
    <row r="2" spans="1:8" ht="15.75">
      <c r="A2" s="519"/>
      <c r="B2" s="519"/>
      <c r="C2" s="519"/>
      <c r="D2" s="519"/>
      <c r="E2" s="519"/>
      <c r="F2" s="519"/>
      <c r="G2" s="519"/>
      <c r="H2" s="519"/>
    </row>
    <row r="3" spans="1:7" ht="15">
      <c r="A3" s="520" t="s">
        <v>313</v>
      </c>
      <c r="B3" s="521"/>
      <c r="C3" s="521"/>
      <c r="D3" s="521"/>
      <c r="E3" s="521"/>
      <c r="F3" s="521"/>
      <c r="G3" s="521"/>
    </row>
    <row r="4" spans="1:8" ht="15.75">
      <c r="A4" s="522"/>
      <c r="B4" s="521"/>
      <c r="C4" s="521"/>
      <c r="D4" s="521"/>
      <c r="E4" s="521"/>
      <c r="F4" s="521"/>
      <c r="G4" s="521"/>
      <c r="H4" s="523"/>
    </row>
    <row r="5" spans="1:8" ht="37.5" customHeight="1">
      <c r="A5" s="754" t="s">
        <v>314</v>
      </c>
      <c r="B5" s="754"/>
      <c r="C5" s="754"/>
      <c r="D5" s="754"/>
      <c r="E5" s="754"/>
      <c r="F5" s="754"/>
      <c r="G5" s="754"/>
      <c r="H5" s="754"/>
    </row>
    <row r="6" spans="1:8" ht="13.5" thickBot="1">
      <c r="A6" s="521"/>
      <c r="B6" s="521"/>
      <c r="C6" s="521"/>
      <c r="D6" s="521"/>
      <c r="E6" s="521"/>
      <c r="F6" s="521"/>
      <c r="G6" s="521"/>
      <c r="H6" s="521"/>
    </row>
    <row r="7" spans="1:8" ht="15.75" thickBot="1">
      <c r="A7" s="755" t="s">
        <v>285</v>
      </c>
      <c r="B7" s="758" t="s">
        <v>315</v>
      </c>
      <c r="C7" s="759"/>
      <c r="D7" s="759"/>
      <c r="E7" s="759"/>
      <c r="F7" s="759"/>
      <c r="G7" s="759"/>
      <c r="H7" s="760"/>
    </row>
    <row r="8" spans="1:8" ht="12.75">
      <c r="A8" s="756"/>
      <c r="B8" s="761" t="s">
        <v>316</v>
      </c>
      <c r="C8" s="763" t="s">
        <v>317</v>
      </c>
      <c r="D8" s="765" t="s">
        <v>290</v>
      </c>
      <c r="E8" s="767" t="s">
        <v>318</v>
      </c>
      <c r="F8" s="769" t="s">
        <v>319</v>
      </c>
      <c r="G8" s="771" t="s">
        <v>320</v>
      </c>
      <c r="H8" s="751" t="s">
        <v>321</v>
      </c>
    </row>
    <row r="9" spans="1:8" ht="70.5" customHeight="1" thickBot="1">
      <c r="A9" s="757"/>
      <c r="B9" s="762"/>
      <c r="C9" s="764"/>
      <c r="D9" s="766"/>
      <c r="E9" s="768"/>
      <c r="F9" s="770"/>
      <c r="G9" s="772"/>
      <c r="H9" s="752"/>
    </row>
    <row r="10" spans="1:8" ht="12.75">
      <c r="A10" s="524">
        <v>2000</v>
      </c>
      <c r="B10" s="525">
        <v>8275493</v>
      </c>
      <c r="C10" s="526">
        <v>760000</v>
      </c>
      <c r="D10" s="526">
        <v>1611956</v>
      </c>
      <c r="E10" s="527">
        <v>2220725</v>
      </c>
      <c r="F10" s="528">
        <f aca="true" t="shared" si="0" ref="F10:F20">SUM(B10:E10)</f>
        <v>12868174</v>
      </c>
      <c r="G10" s="529"/>
      <c r="H10" s="530"/>
    </row>
    <row r="11" spans="1:8" ht="12.75">
      <c r="A11" s="531">
        <v>2001</v>
      </c>
      <c r="B11" s="532">
        <v>9040821</v>
      </c>
      <c r="C11" s="533">
        <v>800000</v>
      </c>
      <c r="D11" s="534">
        <v>2349757</v>
      </c>
      <c r="E11" s="535">
        <v>800000</v>
      </c>
      <c r="F11" s="536">
        <f t="shared" si="0"/>
        <v>12990578</v>
      </c>
      <c r="G11" s="537">
        <f aca="true" t="shared" si="1" ref="G11:G20">F11-F10</f>
        <v>122404</v>
      </c>
      <c r="H11" s="538">
        <f aca="true" t="shared" si="2" ref="H11:H20">F11/F10-1</f>
        <v>0.009512149897879851</v>
      </c>
    </row>
    <row r="12" spans="1:8" ht="12.75">
      <c r="A12" s="531">
        <v>2002</v>
      </c>
      <c r="B12" s="532">
        <v>11135683</v>
      </c>
      <c r="C12" s="534">
        <v>810005</v>
      </c>
      <c r="D12" s="534">
        <v>1770163</v>
      </c>
      <c r="E12" s="535">
        <v>2300000</v>
      </c>
      <c r="F12" s="536">
        <f t="shared" si="0"/>
        <v>16015851</v>
      </c>
      <c r="G12" s="537">
        <f t="shared" si="1"/>
        <v>3025273</v>
      </c>
      <c r="H12" s="538">
        <f t="shared" si="2"/>
        <v>0.23288209346805044</v>
      </c>
    </row>
    <row r="13" spans="1:8" ht="12.75">
      <c r="A13" s="531">
        <v>2003</v>
      </c>
      <c r="B13" s="532">
        <v>12421218</v>
      </c>
      <c r="C13" s="534">
        <v>800000</v>
      </c>
      <c r="D13" s="534">
        <v>2090972</v>
      </c>
      <c r="E13" s="535">
        <v>1044227</v>
      </c>
      <c r="F13" s="536">
        <f t="shared" si="0"/>
        <v>16356417</v>
      </c>
      <c r="G13" s="537">
        <f t="shared" si="1"/>
        <v>340566</v>
      </c>
      <c r="H13" s="538">
        <f t="shared" si="2"/>
        <v>0.02126430871515983</v>
      </c>
    </row>
    <row r="14" spans="1:8" ht="12.75">
      <c r="A14" s="531">
        <v>2004</v>
      </c>
      <c r="B14" s="532">
        <v>14538359</v>
      </c>
      <c r="C14" s="534">
        <v>810005</v>
      </c>
      <c r="D14" s="534">
        <v>2625702</v>
      </c>
      <c r="E14" s="535">
        <v>1044227</v>
      </c>
      <c r="F14" s="536">
        <f t="shared" si="0"/>
        <v>19018293</v>
      </c>
      <c r="G14" s="537">
        <f t="shared" si="1"/>
        <v>2661876</v>
      </c>
      <c r="H14" s="538">
        <f t="shared" si="2"/>
        <v>0.16274199905761755</v>
      </c>
    </row>
    <row r="15" spans="1:8" ht="12.75">
      <c r="A15" s="531">
        <v>2005</v>
      </c>
      <c r="B15" s="532">
        <v>15911721</v>
      </c>
      <c r="C15" s="534">
        <v>810005</v>
      </c>
      <c r="D15" s="534">
        <v>3412667</v>
      </c>
      <c r="E15" s="535">
        <v>1044227</v>
      </c>
      <c r="F15" s="536">
        <f t="shared" si="0"/>
        <v>21178620</v>
      </c>
      <c r="G15" s="537">
        <f t="shared" si="1"/>
        <v>2160327</v>
      </c>
      <c r="H15" s="538">
        <f t="shared" si="2"/>
        <v>0.11359205581699672</v>
      </c>
    </row>
    <row r="16" spans="1:8" ht="12.75">
      <c r="A16" s="531">
        <v>2006</v>
      </c>
      <c r="B16" s="532">
        <v>18894257</v>
      </c>
      <c r="C16" s="534">
        <v>170000</v>
      </c>
      <c r="D16" s="534">
        <v>3148412</v>
      </c>
      <c r="E16" s="535">
        <v>1044227</v>
      </c>
      <c r="F16" s="536">
        <f t="shared" si="0"/>
        <v>23256896</v>
      </c>
      <c r="G16" s="537">
        <f t="shared" si="1"/>
        <v>2078276</v>
      </c>
      <c r="H16" s="538">
        <f t="shared" si="2"/>
        <v>0.09813085082975181</v>
      </c>
    </row>
    <row r="17" spans="1:8" ht="12.75">
      <c r="A17" s="531">
        <v>2007</v>
      </c>
      <c r="B17" s="532">
        <v>20149649</v>
      </c>
      <c r="C17" s="534">
        <v>200000</v>
      </c>
      <c r="D17" s="534">
        <v>2513330</v>
      </c>
      <c r="E17" s="535">
        <v>1044227</v>
      </c>
      <c r="F17" s="536">
        <f t="shared" si="0"/>
        <v>23907206</v>
      </c>
      <c r="G17" s="537">
        <f t="shared" si="1"/>
        <v>650310</v>
      </c>
      <c r="H17" s="538">
        <f t="shared" si="2"/>
        <v>0.02796202898271538</v>
      </c>
    </row>
    <row r="18" spans="1:8" ht="12.75">
      <c r="A18" s="531">
        <v>2008</v>
      </c>
      <c r="B18" s="532">
        <v>20880286</v>
      </c>
      <c r="C18" s="534">
        <v>200000</v>
      </c>
      <c r="D18" s="534">
        <v>3021649</v>
      </c>
      <c r="E18" s="535">
        <v>1044227</v>
      </c>
      <c r="F18" s="536">
        <f t="shared" si="0"/>
        <v>25146162</v>
      </c>
      <c r="G18" s="537">
        <f t="shared" si="1"/>
        <v>1238956</v>
      </c>
      <c r="H18" s="538">
        <f t="shared" si="2"/>
        <v>0.05182353805793949</v>
      </c>
    </row>
    <row r="19" spans="1:8" ht="12.75">
      <c r="A19" s="531">
        <v>2009</v>
      </c>
      <c r="B19" s="532">
        <f>21903501-C19</f>
        <v>21673501</v>
      </c>
      <c r="C19" s="534">
        <v>230000</v>
      </c>
      <c r="D19" s="534">
        <v>2736749</v>
      </c>
      <c r="E19" s="535">
        <v>1047356</v>
      </c>
      <c r="F19" s="536">
        <f t="shared" si="0"/>
        <v>25687606</v>
      </c>
      <c r="G19" s="537">
        <f t="shared" si="1"/>
        <v>541444</v>
      </c>
      <c r="H19" s="538">
        <f t="shared" si="2"/>
        <v>0.02153187432738246</v>
      </c>
    </row>
    <row r="20" spans="1:8" ht="12.75">
      <c r="A20" s="531">
        <v>2010</v>
      </c>
      <c r="B20" s="532">
        <v>20597472</v>
      </c>
      <c r="C20" s="534">
        <v>217770</v>
      </c>
      <c r="D20" s="534">
        <v>2633888</v>
      </c>
      <c r="E20" s="535">
        <v>937603</v>
      </c>
      <c r="F20" s="536">
        <f t="shared" si="0"/>
        <v>24386733</v>
      </c>
      <c r="G20" s="537">
        <f t="shared" si="1"/>
        <v>-1300873</v>
      </c>
      <c r="H20" s="538">
        <f t="shared" si="2"/>
        <v>-0.05064204893208035</v>
      </c>
    </row>
    <row r="21" spans="1:8" ht="12.75">
      <c r="A21" s="539" t="s">
        <v>322</v>
      </c>
      <c r="B21" s="532">
        <v>21397472</v>
      </c>
      <c r="C21" s="534">
        <v>217770</v>
      </c>
      <c r="D21" s="534">
        <v>2633888</v>
      </c>
      <c r="E21" s="535">
        <v>937603</v>
      </c>
      <c r="F21" s="536">
        <f>SUM(B21:E21)</f>
        <v>25186733</v>
      </c>
      <c r="G21" s="537">
        <f>F21-F20</f>
        <v>800000</v>
      </c>
      <c r="H21" s="538">
        <f>F21/F20-1</f>
        <v>0.032804722141338116</v>
      </c>
    </row>
    <row r="22" spans="1:8" ht="12.75">
      <c r="A22" s="540">
        <v>2011</v>
      </c>
      <c r="B22" s="532">
        <v>20488301</v>
      </c>
      <c r="C22" s="534">
        <v>198340</v>
      </c>
      <c r="D22" s="534">
        <v>2263030</v>
      </c>
      <c r="E22" s="535">
        <v>941698</v>
      </c>
      <c r="F22" s="536">
        <f>SUM(B22:E22)</f>
        <v>23891369</v>
      </c>
      <c r="G22" s="537">
        <f>F22-F21</f>
        <v>-1295364</v>
      </c>
      <c r="H22" s="538">
        <f>F22/F21-1</f>
        <v>-0.05143040981138758</v>
      </c>
    </row>
    <row r="23" spans="1:8" ht="13.5" thickBot="1">
      <c r="A23" s="541">
        <v>2012</v>
      </c>
      <c r="B23" s="542">
        <f>19308772-C23</f>
        <v>19128143</v>
      </c>
      <c r="C23" s="543">
        <v>180629</v>
      </c>
      <c r="D23" s="543">
        <v>2363030</v>
      </c>
      <c r="E23" s="544">
        <v>1055662</v>
      </c>
      <c r="F23" s="545">
        <f>SUM(B23:E23)</f>
        <v>22727464</v>
      </c>
      <c r="G23" s="546">
        <f>F23-F22</f>
        <v>-1163905</v>
      </c>
      <c r="H23" s="547">
        <f>F23/F22-1</f>
        <v>-0.048716546967233265</v>
      </c>
    </row>
    <row r="24" ht="12.75">
      <c r="A24" s="199" t="s">
        <v>323</v>
      </c>
    </row>
    <row r="27" ht="12.75">
      <c r="B27" s="324"/>
    </row>
  </sheetData>
  <sheetProtection/>
  <mergeCells count="11">
    <mergeCell ref="G8:G9"/>
    <mergeCell ref="H8:H9"/>
    <mergeCell ref="A1:H1"/>
    <mergeCell ref="A5:H5"/>
    <mergeCell ref="A7:A9"/>
    <mergeCell ref="B7:H7"/>
    <mergeCell ref="B8:B9"/>
    <mergeCell ref="C8:C9"/>
    <mergeCell ref="D8:D9"/>
    <mergeCell ref="E8:E9"/>
    <mergeCell ref="F8:F9"/>
  </mergeCells>
  <printOptions horizontalCentered="1"/>
  <pageMargins left="0.2362204724409449" right="0.11811023622047245" top="0.984251968503937" bottom="0.31496062992125984" header="0.5905511811023623" footer="0.2755905511811024"/>
  <pageSetup fitToHeight="1" fitToWidth="1" horizontalDpi="600" verticalDpi="600" orientation="portrait" paperSize="9" r:id="rId2"/>
  <headerFooter alignWithMargins="0">
    <oddHeader>&amp;R&amp;"Arial CE,Kurzíva"Kapitola B.3.I.1
&amp;"Arial CE,Tučné"Tabulka č.8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04" customWidth="1"/>
    <col min="2" max="2" width="25.00390625" style="204" customWidth="1"/>
    <col min="3" max="3" width="57.00390625" style="204" customWidth="1"/>
    <col min="4" max="16384" width="9.140625" style="204" customWidth="1"/>
  </cols>
  <sheetData>
    <row r="1" spans="1:3" ht="20.25">
      <c r="A1" s="773" t="s">
        <v>324</v>
      </c>
      <c r="B1" s="773"/>
      <c r="C1" s="773"/>
    </row>
    <row r="2" s="199" customFormat="1" ht="12.75"/>
    <row r="3" spans="1:3" s="199" customFormat="1" ht="20.25">
      <c r="A3" s="773" t="s">
        <v>325</v>
      </c>
      <c r="B3" s="773"/>
      <c r="C3" s="773"/>
    </row>
    <row r="4" ht="32.25" customHeight="1" thickBot="1"/>
    <row r="5" spans="1:3" s="551" customFormat="1" ht="18" customHeight="1" thickBot="1">
      <c r="A5" s="548" t="s">
        <v>326</v>
      </c>
      <c r="B5" s="549" t="s">
        <v>327</v>
      </c>
      <c r="C5" s="550" t="s">
        <v>328</v>
      </c>
    </row>
    <row r="6" spans="1:3" ht="18" customHeight="1">
      <c r="A6" s="552">
        <v>11000</v>
      </c>
      <c r="B6" s="553" t="s">
        <v>118</v>
      </c>
      <c r="C6" s="554" t="s">
        <v>329</v>
      </c>
    </row>
    <row r="7" spans="1:3" ht="18" customHeight="1">
      <c r="A7" s="555">
        <v>12000</v>
      </c>
      <c r="B7" s="556" t="s">
        <v>119</v>
      </c>
      <c r="C7" s="557" t="s">
        <v>330</v>
      </c>
    </row>
    <row r="8" spans="1:3" ht="18" customHeight="1">
      <c r="A8" s="555">
        <v>13000</v>
      </c>
      <c r="B8" s="556" t="s">
        <v>120</v>
      </c>
      <c r="C8" s="557" t="s">
        <v>331</v>
      </c>
    </row>
    <row r="9" spans="1:3" ht="18" customHeight="1">
      <c r="A9" s="555">
        <v>14000</v>
      </c>
      <c r="B9" s="556" t="s">
        <v>121</v>
      </c>
      <c r="C9" s="556" t="s">
        <v>332</v>
      </c>
    </row>
    <row r="10" spans="1:3" ht="18" customHeight="1">
      <c r="A10" s="555">
        <v>15000</v>
      </c>
      <c r="B10" s="556" t="s">
        <v>122</v>
      </c>
      <c r="C10" s="556" t="s">
        <v>333</v>
      </c>
    </row>
    <row r="11" spans="1:3" ht="18" customHeight="1">
      <c r="A11" s="555">
        <v>16000</v>
      </c>
      <c r="B11" s="556" t="s">
        <v>123</v>
      </c>
      <c r="C11" s="556" t="s">
        <v>334</v>
      </c>
    </row>
    <row r="12" spans="1:3" ht="18" customHeight="1">
      <c r="A12" s="555">
        <v>17000</v>
      </c>
      <c r="B12" s="556" t="s">
        <v>124</v>
      </c>
      <c r="C12" s="556" t="s">
        <v>335</v>
      </c>
    </row>
    <row r="13" spans="1:3" ht="18" customHeight="1">
      <c r="A13" s="555">
        <v>18000</v>
      </c>
      <c r="B13" s="556" t="s">
        <v>125</v>
      </c>
      <c r="C13" s="556" t="s">
        <v>191</v>
      </c>
    </row>
    <row r="14" spans="1:3" ht="18" customHeight="1">
      <c r="A14" s="555">
        <v>19000</v>
      </c>
      <c r="B14" s="556" t="s">
        <v>126</v>
      </c>
      <c r="C14" s="556" t="s">
        <v>336</v>
      </c>
    </row>
    <row r="15" spans="1:3" ht="18" customHeight="1">
      <c r="A15" s="555">
        <v>21000</v>
      </c>
      <c r="B15" s="556" t="s">
        <v>127</v>
      </c>
      <c r="C15" s="556" t="s">
        <v>337</v>
      </c>
    </row>
    <row r="16" spans="1:3" ht="18" customHeight="1">
      <c r="A16" s="555">
        <v>22000</v>
      </c>
      <c r="B16" s="556" t="s">
        <v>128</v>
      </c>
      <c r="C16" s="556" t="s">
        <v>338</v>
      </c>
    </row>
    <row r="17" spans="1:3" ht="18" customHeight="1">
      <c r="A17" s="555">
        <v>23000</v>
      </c>
      <c r="B17" s="556" t="s">
        <v>129</v>
      </c>
      <c r="C17" s="557" t="s">
        <v>339</v>
      </c>
    </row>
    <row r="18" spans="1:3" ht="18" customHeight="1">
      <c r="A18" s="555">
        <v>24000</v>
      </c>
      <c r="B18" s="556" t="s">
        <v>130</v>
      </c>
      <c r="C18" s="557" t="s">
        <v>340</v>
      </c>
    </row>
    <row r="19" spans="1:3" ht="18" customHeight="1">
      <c r="A19" s="555">
        <v>25000</v>
      </c>
      <c r="B19" s="556" t="s">
        <v>131</v>
      </c>
      <c r="C19" s="557" t="s">
        <v>341</v>
      </c>
    </row>
    <row r="20" spans="1:3" ht="18" customHeight="1">
      <c r="A20" s="555">
        <v>26000</v>
      </c>
      <c r="B20" s="556" t="s">
        <v>132</v>
      </c>
      <c r="C20" s="557" t="s">
        <v>342</v>
      </c>
    </row>
    <row r="21" spans="1:3" ht="18" customHeight="1">
      <c r="A21" s="555">
        <v>27000</v>
      </c>
      <c r="B21" s="556" t="s">
        <v>133</v>
      </c>
      <c r="C21" s="557" t="s">
        <v>343</v>
      </c>
    </row>
    <row r="22" spans="1:3" ht="18" customHeight="1">
      <c r="A22" s="555">
        <v>28000</v>
      </c>
      <c r="B22" s="556" t="s">
        <v>134</v>
      </c>
      <c r="C22" s="557" t="s">
        <v>344</v>
      </c>
    </row>
    <row r="23" spans="1:3" ht="18" customHeight="1">
      <c r="A23" s="555">
        <v>31000</v>
      </c>
      <c r="B23" s="556" t="s">
        <v>135</v>
      </c>
      <c r="C23" s="557" t="s">
        <v>345</v>
      </c>
    </row>
    <row r="24" spans="1:3" ht="18" customHeight="1">
      <c r="A24" s="555">
        <v>41000</v>
      </c>
      <c r="B24" s="556" t="s">
        <v>136</v>
      </c>
      <c r="C24" s="557" t="s">
        <v>346</v>
      </c>
    </row>
    <row r="25" spans="1:3" ht="18" customHeight="1">
      <c r="A25" s="555">
        <v>43000</v>
      </c>
      <c r="B25" s="556" t="s">
        <v>137</v>
      </c>
      <c r="C25" s="557" t="s">
        <v>347</v>
      </c>
    </row>
    <row r="26" spans="1:3" ht="18" customHeight="1">
      <c r="A26" s="555">
        <v>51000</v>
      </c>
      <c r="B26" s="556" t="s">
        <v>138</v>
      </c>
      <c r="C26" s="557" t="s">
        <v>348</v>
      </c>
    </row>
    <row r="27" spans="1:3" ht="18" customHeight="1">
      <c r="A27" s="555">
        <v>52000</v>
      </c>
      <c r="B27" s="556" t="s">
        <v>139</v>
      </c>
      <c r="C27" s="557" t="s">
        <v>349</v>
      </c>
    </row>
    <row r="28" spans="1:3" ht="18" customHeight="1">
      <c r="A28" s="555">
        <v>53000</v>
      </c>
      <c r="B28" s="556" t="s">
        <v>140</v>
      </c>
      <c r="C28" s="557" t="s">
        <v>350</v>
      </c>
    </row>
    <row r="29" spans="1:3" ht="18" customHeight="1">
      <c r="A29" s="555">
        <v>54000</v>
      </c>
      <c r="B29" s="556" t="s">
        <v>141</v>
      </c>
      <c r="C29" s="557" t="s">
        <v>351</v>
      </c>
    </row>
    <row r="30" spans="1:3" ht="18" customHeight="1">
      <c r="A30" s="555">
        <v>55000</v>
      </c>
      <c r="B30" s="556" t="s">
        <v>142</v>
      </c>
      <c r="C30" s="557" t="s">
        <v>352</v>
      </c>
    </row>
    <row r="31" spans="1:3" ht="18" customHeight="1" thickBot="1">
      <c r="A31" s="558">
        <v>56000</v>
      </c>
      <c r="B31" s="559" t="s">
        <v>143</v>
      </c>
      <c r="C31" s="560" t="s">
        <v>353</v>
      </c>
    </row>
  </sheetData>
  <sheetProtection/>
  <mergeCells count="2">
    <mergeCell ref="A1:C1"/>
    <mergeCell ref="A3:C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finkova</cp:lastModifiedBy>
  <cp:lastPrinted>2012-01-27T10:53:59Z</cp:lastPrinted>
  <dcterms:created xsi:type="dcterms:W3CDTF">2005-03-23T13:09:30Z</dcterms:created>
  <dcterms:modified xsi:type="dcterms:W3CDTF">2012-03-19T09:18:28Z</dcterms:modified>
  <cp:category/>
  <cp:version/>
  <cp:contentType/>
  <cp:contentStatus/>
</cp:coreProperties>
</file>