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tabRatio="607" firstSheet="5" activeTab="7"/>
  </bookViews>
  <sheets>
    <sheet name="UR12" sheetId="1" r:id="rId1"/>
    <sheet name="1a" sheetId="2" r:id="rId2"/>
    <sheet name="EU " sheetId="3" r:id="rId3"/>
    <sheet name="RN-Sk" sheetId="4" r:id="rId4"/>
    <sheet name="ONIV" sheetId="5" r:id="rId5"/>
    <sheet name="vynosy" sheetId="6" r:id="rId6"/>
    <sheet name="HVcelkem" sheetId="7" r:id="rId7"/>
    <sheet name="HV-HC" sheetId="8" r:id="rId8"/>
    <sheet name="HV-JC " sheetId="9" r:id="rId9"/>
    <sheet name="penFondy" sheetId="10" r:id="rId10"/>
    <sheet name="krytíPF" sheetId="11" r:id="rId11"/>
    <sheet name="F10 po prid" sheetId="12" r:id="rId12"/>
    <sheet name="List1" sheetId="13" r:id="rId13"/>
  </sheets>
  <definedNames>
    <definedName name="_xlnm.Print_Titles" localSheetId="11">'F10 po prid'!$1:$4</definedName>
  </definedNames>
  <calcPr fullCalcOnLoad="1"/>
</workbook>
</file>

<file path=xl/comments1.xml><?xml version="1.0" encoding="utf-8"?>
<comments xmlns="http://schemas.openxmlformats.org/spreadsheetml/2006/main">
  <authors>
    <author>avratova</author>
  </authors>
  <commentList>
    <comment ref="H5" authorId="0">
      <text>
        <r>
          <rPr>
            <b/>
            <sz val="8"/>
            <rFont val="Tahoma"/>
            <family val="2"/>
          </rPr>
          <t>avratova: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prostředky neuvolněny</t>
        </r>
      </text>
    </comment>
  </commentList>
</comments>
</file>

<file path=xl/sharedStrings.xml><?xml version="1.0" encoding="utf-8"?>
<sst xmlns="http://schemas.openxmlformats.org/spreadsheetml/2006/main" count="1666" uniqueCount="681">
  <si>
    <t>(bez FKSP - neprovádí se příděl z HV)</t>
  </si>
  <si>
    <t>v tis. Kč</t>
  </si>
  <si>
    <t>Návrh přídělu ze zlepš. HV</t>
  </si>
  <si>
    <t>Fond odměn</t>
  </si>
  <si>
    <t>DZS Praha</t>
  </si>
  <si>
    <t>ÚIV Praha</t>
  </si>
  <si>
    <t>NIDM Praha</t>
  </si>
  <si>
    <t>KJWF Praha</t>
  </si>
  <si>
    <t>PC Č.Těšín</t>
  </si>
  <si>
    <t>ADV Praha</t>
  </si>
  <si>
    <t xml:space="preserve">FO CELKEM </t>
  </si>
  <si>
    <t>Fond rezervní</t>
  </si>
  <si>
    <t xml:space="preserve">RF CELKEM </t>
  </si>
  <si>
    <t>FRM</t>
  </si>
  <si>
    <t>FRM CELKEM</t>
  </si>
  <si>
    <t xml:space="preserve">CELKEM </t>
  </si>
  <si>
    <t>CELKEM OPŘO</t>
  </si>
  <si>
    <t xml:space="preserve">Krytí peněžních fondů OPŘO </t>
  </si>
  <si>
    <t>Číslo účtu</t>
  </si>
  <si>
    <t>Běžný účet</t>
  </si>
  <si>
    <t>Ostatní běžné účty</t>
  </si>
  <si>
    <t>FKSP</t>
  </si>
  <si>
    <t>FRIM</t>
  </si>
  <si>
    <t>Peněžní fondy za OPŘO celkem</t>
  </si>
  <si>
    <t>Peněžní fondy OPŘO - tvorba a čerpání</t>
  </si>
  <si>
    <t>Čerpání</t>
  </si>
  <si>
    <t>Účet</t>
  </si>
  <si>
    <t>DZS</t>
  </si>
  <si>
    <t>NIDM</t>
  </si>
  <si>
    <t>501</t>
  </si>
  <si>
    <t>Spotřeba materiálu</t>
  </si>
  <si>
    <t>502</t>
  </si>
  <si>
    <t>Spotřeba energie</t>
  </si>
  <si>
    <t>503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</si>
  <si>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</si>
  <si>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</si>
  <si>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</si>
  <si>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</si>
  <si>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</si>
  <si>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</si>
  <si>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</si>
  <si>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</si>
  <si>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</si>
  <si>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</si>
  <si>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</si>
  <si>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</si>
  <si>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</si>
  <si>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</si>
  <si>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</si>
  <si>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527</t>
  </si>
  <si>
    <t>Zákonné sociální náklady</t>
  </si>
  <si>
    <t>528</t>
  </si>
  <si>
    <t>531</t>
  </si>
  <si>
    <t>Daň silniční</t>
  </si>
  <si>
    <t>532</t>
  </si>
  <si>
    <t>Daň z nemovitostí</t>
  </si>
  <si>
    <t>538</t>
  </si>
  <si>
    <t>541</t>
  </si>
  <si>
    <t>Smluvní pokuty a úroky z prodlení</t>
  </si>
  <si>
    <t>542</t>
  </si>
  <si>
    <t>543</t>
  </si>
  <si>
    <t>544</t>
  </si>
  <si>
    <t>Úroky</t>
  </si>
  <si>
    <t>Kurzové ztráty</t>
  </si>
  <si>
    <t>Dary</t>
  </si>
  <si>
    <t>548</t>
  </si>
  <si>
    <t>Manka a škody</t>
  </si>
  <si>
    <t>549</t>
  </si>
  <si>
    <t>551</t>
  </si>
  <si>
    <t>552</t>
  </si>
  <si>
    <t>553</t>
  </si>
  <si>
    <t>554</t>
  </si>
  <si>
    <t>Prodaný materiál</t>
  </si>
  <si>
    <t>556</t>
  </si>
  <si>
    <t>601</t>
  </si>
  <si>
    <t>602</t>
  </si>
  <si>
    <t>604</t>
  </si>
  <si>
    <t>611</t>
  </si>
  <si>
    <t>612</t>
  </si>
  <si>
    <t>613</t>
  </si>
  <si>
    <t>614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</si>
  <si>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</si>
  <si>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</si>
  <si>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</si>
  <si>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</si>
  <si>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</si>
  <si>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</si>
  <si>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</si>
  <si>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</si>
  <si>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</si>
  <si>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</si>
  <si>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</si>
  <si>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644</t>
  </si>
  <si>
    <t>645</t>
  </si>
  <si>
    <t>Kurzové zisky</t>
  </si>
  <si>
    <t>649</t>
  </si>
  <si>
    <t>591</t>
  </si>
  <si>
    <t>Daň z příjmů</t>
  </si>
  <si>
    <t>595</t>
  </si>
  <si>
    <t>Dodatečné odvody daně z příjmů</t>
  </si>
  <si>
    <t>KJWF</t>
  </si>
  <si>
    <t>ADV</t>
  </si>
  <si>
    <t>Celkem</t>
  </si>
  <si>
    <t>OPŘO</t>
  </si>
  <si>
    <t>HV hlavní činnosti</t>
  </si>
  <si>
    <t>HV jiné činnosti</t>
  </si>
  <si>
    <t>HV celkem</t>
  </si>
  <si>
    <t>HV celkem bez daně</t>
  </si>
  <si>
    <t>z toho daň</t>
  </si>
  <si>
    <t>HV</t>
  </si>
  <si>
    <t>Celkem OPŘO</t>
  </si>
  <si>
    <t>Tabulka č. 10</t>
  </si>
  <si>
    <t>celkem</t>
  </si>
  <si>
    <t>rozpočet</t>
  </si>
  <si>
    <t>skutečnost</t>
  </si>
  <si>
    <t>Tabulka č. 9</t>
  </si>
  <si>
    <t>Rozpočet zákonných odvodů</t>
  </si>
  <si>
    <t xml:space="preserve">Skutečnost </t>
  </si>
  <si>
    <t>Procento</t>
  </si>
  <si>
    <t>Rozpočet FKSP</t>
  </si>
  <si>
    <t>Rozpočet OBV</t>
  </si>
  <si>
    <t>Rozpočet ONIV celkem</t>
  </si>
  <si>
    <t>sl. 1</t>
  </si>
  <si>
    <t>sl. 2</t>
  </si>
  <si>
    <t>sl. 3</t>
  </si>
  <si>
    <t>sl.4</t>
  </si>
  <si>
    <t>CELKEM OPŘO - PO</t>
  </si>
  <si>
    <t>Tabulka č. 3</t>
  </si>
  <si>
    <t>Rozpočet nákladů celkem</t>
  </si>
  <si>
    <t>Skutečnost (V + N)</t>
  </si>
  <si>
    <t>Tabulka č. 2</t>
  </si>
  <si>
    <t xml:space="preserve">PLATY </t>
  </si>
  <si>
    <t xml:space="preserve">OON </t>
  </si>
  <si>
    <t>MP celkem</t>
  </si>
  <si>
    <t>POJ.</t>
  </si>
  <si>
    <t xml:space="preserve">FKSP </t>
  </si>
  <si>
    <t>OBV provoz</t>
  </si>
  <si>
    <t>OBV celkem</t>
  </si>
  <si>
    <t>ONIV celkem</t>
  </si>
  <si>
    <t>NIV příspěvek PO</t>
  </si>
  <si>
    <t>CELKEM VÝDAJE</t>
  </si>
  <si>
    <t>Počet zam.</t>
  </si>
  <si>
    <t>Paragraf</t>
  </si>
  <si>
    <t>Popis</t>
  </si>
  <si>
    <t>3299 - 41</t>
  </si>
  <si>
    <t>ÚIV-KMENOVÁ ČINNOST</t>
  </si>
  <si>
    <t>3299 - 42</t>
  </si>
  <si>
    <t>ÚIV-PROJEKTY</t>
  </si>
  <si>
    <t>3299 - AB</t>
  </si>
  <si>
    <t>3315 - 01</t>
  </si>
  <si>
    <t>3315 - 05</t>
  </si>
  <si>
    <t>3421 - 11</t>
  </si>
  <si>
    <t>NIDM-KMENOVÁ ČINNOST</t>
  </si>
  <si>
    <t>3421 - 12</t>
  </si>
  <si>
    <t>NIDM-NA MLÁDEŽ</t>
  </si>
  <si>
    <t>3421 - 17</t>
  </si>
  <si>
    <t>NIDM-OST.MIMO PROJ A KMEN. ČIN.</t>
  </si>
  <si>
    <t>3314 - 01</t>
  </si>
  <si>
    <t>3314 - 03</t>
  </si>
  <si>
    <t>3314 - 07</t>
  </si>
  <si>
    <t>3299 - 53</t>
  </si>
  <si>
    <t>KJWF-KMENOVÁ ČINNOST</t>
  </si>
  <si>
    <t>3299 - 62</t>
  </si>
  <si>
    <t>PC TĚŠÍN-KMENOVÁ ČINNOST</t>
  </si>
  <si>
    <t>3411 - 01</t>
  </si>
  <si>
    <t>CELKEM</t>
  </si>
  <si>
    <t>UIV</t>
  </si>
  <si>
    <t>3809 - 36</t>
  </si>
  <si>
    <t>NIDM -soutěže</t>
  </si>
  <si>
    <t>OBV ISPROFIN</t>
  </si>
  <si>
    <t>Tabulka č. 7</t>
  </si>
  <si>
    <t>Tabulka č. 8</t>
  </si>
  <si>
    <t>3299 - 14</t>
  </si>
  <si>
    <t>DZS 2007-13 programy EHP Norsko z rozp. EHP</t>
  </si>
  <si>
    <t>3299 - 13</t>
  </si>
  <si>
    <t>DZS 2007-13 programy EHP Norsko ze SR</t>
  </si>
  <si>
    <t>3299 - 32</t>
  </si>
  <si>
    <t>DZS-KMENOVÁ ČINNOST</t>
  </si>
  <si>
    <t>DZS-PROJEKTY</t>
  </si>
  <si>
    <t>3299 - 36</t>
  </si>
  <si>
    <t>DZS - NAEP</t>
  </si>
  <si>
    <t>DZS - ostatní - Evropské školy</t>
  </si>
  <si>
    <t>3421 - 07</t>
  </si>
  <si>
    <t>3809 - 55</t>
  </si>
  <si>
    <t>Tabulka č. 1</t>
  </si>
  <si>
    <t>Tvorba</t>
  </si>
  <si>
    <t>Tabulka č. 4</t>
  </si>
  <si>
    <t>Tabulka č. 5</t>
  </si>
  <si>
    <t>Tabulka č. 6</t>
  </si>
  <si>
    <t>Tabulka č.11</t>
  </si>
  <si>
    <t>NTK Praha</t>
  </si>
  <si>
    <t>CZVV Praha</t>
  </si>
  <si>
    <t>NTK</t>
  </si>
  <si>
    <t>CZVV</t>
  </si>
  <si>
    <t>3299 - HN</t>
  </si>
  <si>
    <t>DZS - česko švýcarská spolupráce ze SR</t>
  </si>
  <si>
    <t>3299 - G6</t>
  </si>
  <si>
    <t>3314 - 06</t>
  </si>
  <si>
    <t>NTK-KMENOVÁ ČINNOST</t>
  </si>
  <si>
    <t>NTK - výdaje ISPROFIN</t>
  </si>
  <si>
    <t>NTK-PROJEKTY</t>
  </si>
  <si>
    <t>CZVV PO - kmenová činnost</t>
  </si>
  <si>
    <t>Běžný účet FKSP</t>
  </si>
  <si>
    <t>abs. rozdíl</t>
  </si>
  <si>
    <t>Stav k 1.1.2010</t>
  </si>
  <si>
    <t>Č.pol.</t>
  </si>
  <si>
    <t>Název položky</t>
  </si>
  <si>
    <t>PC ČT</t>
  </si>
  <si>
    <t>A</t>
  </si>
  <si>
    <t>I.</t>
  </si>
  <si>
    <t>Náklady z činnosti</t>
  </si>
  <si>
    <t>1.</t>
  </si>
  <si>
    <t>2.</t>
  </si>
  <si>
    <t>3.</t>
  </si>
  <si>
    <t>Spotřeba jiných neskladovatelných dodávek</t>
  </si>
  <si>
    <t>4.</t>
  </si>
  <si>
    <t>5.</t>
  </si>
  <si>
    <t>6.</t>
  </si>
  <si>
    <t>7.</t>
  </si>
  <si>
    <t>8.</t>
  </si>
  <si>
    <t>9.</t>
  </si>
  <si>
    <t>11.</t>
  </si>
  <si>
    <t>12.</t>
  </si>
  <si>
    <t>Jiné sociální pojištění</t>
  </si>
  <si>
    <t>13.</t>
  </si>
  <si>
    <t>14.</t>
  </si>
  <si>
    <t>Jiné sociální náklady</t>
  </si>
  <si>
    <t>15.</t>
  </si>
  <si>
    <t>16.</t>
  </si>
  <si>
    <t>17.</t>
  </si>
  <si>
    <t>Jiné daně a poplatky</t>
  </si>
  <si>
    <t>19.</t>
  </si>
  <si>
    <t>20.</t>
  </si>
  <si>
    <t>Jiné pokuty a penále</t>
  </si>
  <si>
    <t>21.</t>
  </si>
  <si>
    <t>22.</t>
  </si>
  <si>
    <t>23.</t>
  </si>
  <si>
    <t>547</t>
  </si>
  <si>
    <t>24.</t>
  </si>
  <si>
    <t>Tvorba fondů</t>
  </si>
  <si>
    <t>25.</t>
  </si>
  <si>
    <t>Odpisy dlouhodobého majetku</t>
  </si>
  <si>
    <t>26.</t>
  </si>
  <si>
    <t>Zůstatková cena prodaného dlouhodobého  nehmotného majetku</t>
  </si>
  <si>
    <t>27.</t>
  </si>
  <si>
    <t>Zůstatková cena prodaného dlouhodobého  hmotného majetku</t>
  </si>
  <si>
    <t>28.</t>
  </si>
  <si>
    <t>Prodané pozemky</t>
  </si>
  <si>
    <t>29.</t>
  </si>
  <si>
    <t>Tvorba a zúčtování rezerv</t>
  </si>
  <si>
    <t>555</t>
  </si>
  <si>
    <t>30.</t>
  </si>
  <si>
    <t>Tvorba a zúčtování opravných položek</t>
  </si>
  <si>
    <t>31.</t>
  </si>
  <si>
    <t>Náklady z odepsaných  pohledávek</t>
  </si>
  <si>
    <t>557</t>
  </si>
  <si>
    <t>32.</t>
  </si>
  <si>
    <t>Ostatní náklady z činnosti</t>
  </si>
  <si>
    <t>II.</t>
  </si>
  <si>
    <t>Finanční náklady</t>
  </si>
  <si>
    <t>562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</si>
  <si>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</si>
  <si>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</si>
  <si>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</si>
  <si>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</si>
  <si>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</si>
  <si>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</si>
  <si>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nároky na prostředky státního rozpočtu</t>
  </si>
  <si>
    <t>571</t>
  </si>
  <si>
    <t>Náklady na nároky na prostředky rozpočtů územních samospr. celků</t>
  </si>
  <si>
    <t>572</t>
  </si>
  <si>
    <t>B.</t>
  </si>
  <si>
    <t>Výnosy z činnosti</t>
  </si>
  <si>
    <t>Výnosy z prodeje vlastních výrobků</t>
  </si>
  <si>
    <t>Výnosy z prodeje služeb</t>
  </si>
  <si>
    <t>Výnosy z pronájmu</t>
  </si>
  <si>
    <t>603</t>
  </si>
  <si>
    <t>Výnosy z prodaného zboží</t>
  </si>
  <si>
    <t>Jiné výnosy z vlastních výkonů</t>
  </si>
  <si>
    <t>609</t>
  </si>
  <si>
    <t>Změna stavu nedokončené výroby</t>
  </si>
  <si>
    <t>10.</t>
  </si>
  <si>
    <t>Změna stavu polotovarů</t>
  </si>
  <si>
    <t>Změna stavu výrobků</t>
  </si>
  <si>
    <t xml:space="preserve">Změna stavu ostatních zásob  </t>
  </si>
  <si>
    <t>18.</t>
  </si>
  <si>
    <t>Výnosy z odepsaných pohledávek</t>
  </si>
  <si>
    <t>Výnosy z prodeje materiálu</t>
  </si>
  <si>
    <t>Výnosy z prodeje dlouhodobého nehmotného majetku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</si>
  <si>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</si>
  <si>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</si>
  <si>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</si>
  <si>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</si>
  <si>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</si>
  <si>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</si>
  <si>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</si>
  <si>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Finanční výnosy</t>
  </si>
  <si>
    <t>662</t>
  </si>
  <si>
    <t>663</t>
  </si>
  <si>
    <t>Výnosy z přecenění reálnou hodnotou</t>
  </si>
  <si>
    <t>664</t>
  </si>
  <si>
    <t>Ostatní finanční výnosy</t>
  </si>
  <si>
    <t>669</t>
  </si>
  <si>
    <t>IV.</t>
  </si>
  <si>
    <t xml:space="preserve">Výnosy z nároků na prostředky státního rozpočtu </t>
  </si>
  <si>
    <t>671</t>
  </si>
  <si>
    <t xml:space="preserve">Výnosy z nároků na prostředky rozpočtů územních samospr. celků </t>
  </si>
  <si>
    <t>672</t>
  </si>
  <si>
    <t>VI.</t>
  </si>
  <si>
    <t>VÝSLEDEK HOSPODAŘENÍ</t>
  </si>
  <si>
    <t>Výsledek hospodaření před zdaněním</t>
  </si>
  <si>
    <t>-</t>
  </si>
  <si>
    <t>Výsledek hospodaření po zdanění</t>
  </si>
  <si>
    <t>5331    (5336)                03</t>
  </si>
  <si>
    <t>5331    (5336)                04</t>
  </si>
  <si>
    <t>5331 (5336)</t>
  </si>
  <si>
    <t>3809 - 16</t>
  </si>
  <si>
    <t>DZS-účel. podpora na aplikovaný VaV</t>
  </si>
  <si>
    <t>ÚIV-VAV ÚČEL.podpora aplikovaného výzkumu</t>
  </si>
  <si>
    <t>ÚIV- OP VpK 2007-13 Kompetence I z EU</t>
  </si>
  <si>
    <t>3299 - GT</t>
  </si>
  <si>
    <t>ÚIV - OP VpK 2007-13 Kompetence I ze SR</t>
  </si>
  <si>
    <t>3299 - GW</t>
  </si>
  <si>
    <t>ÚIV - OP VpK 2007-13 OP VpK Kompetence II z EU</t>
  </si>
  <si>
    <t>3299 - GV</t>
  </si>
  <si>
    <t>ÚIV - OP VpK 2007-13 Kompetence II ze SR</t>
  </si>
  <si>
    <t>3299 - IX</t>
  </si>
  <si>
    <t>ÚIV OP VpK 2007-13 Inform.a publicita ze EU</t>
  </si>
  <si>
    <t>3299 - 79</t>
  </si>
  <si>
    <t>ÚIV- OP VpK 2007-13 Inform.a publicita ze SR</t>
  </si>
  <si>
    <t>3299 - HX</t>
  </si>
  <si>
    <t>ÚIV OP Vpk 2007-13 Podpora z EU</t>
  </si>
  <si>
    <t>3299 - HW</t>
  </si>
  <si>
    <t>ÚIV OP VpK 2007-13 Podpora ze SR</t>
  </si>
  <si>
    <t>3299 - IL</t>
  </si>
  <si>
    <t>ÚIV OP VpK 2007-13 odb. 72 Audit z EU</t>
  </si>
  <si>
    <t>3299 - IK</t>
  </si>
  <si>
    <t>ÚIV OP VpK 2007-13 odb. 72 Audit ze SR</t>
  </si>
  <si>
    <t>3299 - IP</t>
  </si>
  <si>
    <t>ÚIV OP VpK 2007-13 odb. 72  Eftrans z EU</t>
  </si>
  <si>
    <t>3299 - IO</t>
  </si>
  <si>
    <t>ÚIV OP VpK 2007-13 odb. 72 Eftrans ze SR</t>
  </si>
  <si>
    <t>3299 - IN</t>
  </si>
  <si>
    <t>ÚIV OP VpK 2007-13 odb. 72 Q-ram z EU</t>
  </si>
  <si>
    <t>ÚIV OP VpK 2007-13 odb.72 Q-ram ze SR</t>
  </si>
  <si>
    <t>3809 - 43</t>
  </si>
  <si>
    <t>ÚIV - OP VaVpI 2007-13 z EU</t>
  </si>
  <si>
    <t>3809 - 38</t>
  </si>
  <si>
    <t>ÚIV-OP VaVpI 2007-13 ze SR</t>
  </si>
  <si>
    <t>3299 - FA</t>
  </si>
  <si>
    <t>NIDM OP VpK 2007-13 Klíče pro život z EU</t>
  </si>
  <si>
    <t>3299 - F9</t>
  </si>
  <si>
    <t>NIDM OP VpK 2007-13 Klíče pro život ze SR</t>
  </si>
  <si>
    <t>3314 - 10</t>
  </si>
  <si>
    <t>NTK projekty OP LZaZ 2007-13 z EU</t>
  </si>
  <si>
    <t>3314 - 09</t>
  </si>
  <si>
    <t>NTK OP LZaZ 2007-13 projekty ze SR</t>
  </si>
  <si>
    <t>3299 - DS</t>
  </si>
  <si>
    <t>CZVV 2007-13 OP VpK IPn Maturita z EU</t>
  </si>
  <si>
    <t>3299 - DR</t>
  </si>
  <si>
    <t>CZVV 2007-13 OP VpK IPn Maturita ze SR</t>
  </si>
  <si>
    <t>SR</t>
  </si>
  <si>
    <t>NA</t>
  </si>
  <si>
    <t>Tab. č. 1 a</t>
  </si>
  <si>
    <t>platy</t>
  </si>
  <si>
    <t>OON</t>
  </si>
  <si>
    <t>odv.</t>
  </si>
  <si>
    <t>Odvody celkem</t>
  </si>
  <si>
    <t>OBV</t>
  </si>
  <si>
    <t>KČ + projekty</t>
  </si>
  <si>
    <t>ESF - rozpočet</t>
  </si>
  <si>
    <t>ESF - nároky</t>
  </si>
  <si>
    <t>C e l k e m</t>
  </si>
  <si>
    <t>banka celkem</t>
  </si>
  <si>
    <t>v tom SR</t>
  </si>
  <si>
    <t xml:space="preserve">             ESF</t>
  </si>
  <si>
    <t xml:space="preserve">odvody </t>
  </si>
  <si>
    <t>Celková rekapitulace</t>
  </si>
  <si>
    <t>Rozpočet (kmenová činnost, rez. projekty a účel. vym.úkoly)</t>
  </si>
  <si>
    <t>Limit v ČNB</t>
  </si>
  <si>
    <t xml:space="preserve">    v tom:    SR</t>
  </si>
  <si>
    <t xml:space="preserve">                 ESF</t>
  </si>
  <si>
    <t xml:space="preserve"> </t>
  </si>
  <si>
    <t>ÚIV</t>
  </si>
  <si>
    <t>3299 - 49</t>
  </si>
  <si>
    <t>NIDM OST.MEZINÁR.SEMINÁŘE A KONFERENCE</t>
  </si>
  <si>
    <t>5399 - 08</t>
  </si>
  <si>
    <t>NIDM-KRIMINALITA</t>
  </si>
  <si>
    <t>3314 - 13</t>
  </si>
  <si>
    <t>NTK - mezinárodní konference a semináře</t>
  </si>
  <si>
    <t>3809 - 32</t>
  </si>
  <si>
    <t>3292 - 03</t>
  </si>
  <si>
    <t>PC Těšín - nár.menšiny a multikult.výchova</t>
  </si>
  <si>
    <t>rok 2010</t>
  </si>
  <si>
    <t>z činnosti</t>
  </si>
  <si>
    <t>Fond rezervní celkový</t>
  </si>
  <si>
    <t>Stav k 1.1.2011</t>
  </si>
  <si>
    <t>Stav k 31.12.2011</t>
  </si>
  <si>
    <t>Změna stavu za rok 2011 (4-1)</t>
  </si>
  <si>
    <t>rok 2011</t>
  </si>
  <si>
    <t>Peněžní fondy organizací po přídělu ze ZVH v r. 2011</t>
  </si>
  <si>
    <t>Stav po přídělu v r. 2012</t>
  </si>
  <si>
    <t>Porovnání rozpočtu celkových nákladů a skutečnosti OPŘO za rok 2011</t>
  </si>
  <si>
    <t>Porovnání rozpočtu ONIV celkem a skutečnosti OPŘO za rok 2011</t>
  </si>
  <si>
    <t>Porovnání rozpočtovaných výnosů se skutečností za rok 2011</t>
  </si>
  <si>
    <t>Přehled o hospodářských výsledcích OPŘO celkem za rok 2011</t>
  </si>
  <si>
    <t>(v Kč)</t>
  </si>
  <si>
    <t>IPPP</t>
  </si>
  <si>
    <t>VÚP</t>
  </si>
  <si>
    <t>US RB</t>
  </si>
  <si>
    <t>VKC</t>
  </si>
  <si>
    <t>NÚV</t>
  </si>
  <si>
    <t>NPMKK</t>
  </si>
  <si>
    <t>NIDV</t>
  </si>
  <si>
    <t>NÁKLADY CELKEM</t>
  </si>
  <si>
    <t>Náklady na transfery</t>
  </si>
  <si>
    <t>VÝNOSY CELKEM</t>
  </si>
  <si>
    <t>Výnosy z transferů</t>
  </si>
  <si>
    <t>IPPP Praha</t>
  </si>
  <si>
    <t>VKC Telč</t>
  </si>
  <si>
    <t>NÚV Praha</t>
  </si>
  <si>
    <t>NPMKK Praha</t>
  </si>
  <si>
    <t>NIDV Praha</t>
  </si>
  <si>
    <t>v Kč</t>
  </si>
  <si>
    <t>v  Kč</t>
  </si>
  <si>
    <t>VÚP Praha</t>
  </si>
  <si>
    <t>3146 - GS</t>
  </si>
  <si>
    <t>NÚOV sk. 4 OP VpK 2007-13 IPn VIP II z EU</t>
  </si>
  <si>
    <t>3146 - GR</t>
  </si>
  <si>
    <t>NÚOV sk.4 OP VpK 2007-13 IPn VIP II ze SR</t>
  </si>
  <si>
    <t>3146 - GY</t>
  </si>
  <si>
    <t>NÚOV sk.4 OP VpK 2007-13 CPIV z EU</t>
  </si>
  <si>
    <t>3146- GX</t>
  </si>
  <si>
    <t>NÚOV sk.4 OP VpK 2007-13  CPIV ze SR</t>
  </si>
  <si>
    <t>3146 - GX</t>
  </si>
  <si>
    <t>3299 - DO</t>
  </si>
  <si>
    <t>NÚOV 2007-13 OP VpK kurikulum z EU</t>
  </si>
  <si>
    <t>3299 - DN</t>
  </si>
  <si>
    <t>NÚOV 2007-13 OP VpK Kurikulum ze SR</t>
  </si>
  <si>
    <t>3299 - DM</t>
  </si>
  <si>
    <t>VÚP OP VpK 2007-13 Metodika z EU</t>
  </si>
  <si>
    <t>3299- DL</t>
  </si>
  <si>
    <t>VÚP 2007-13 OP VpK Metodika ze SR</t>
  </si>
  <si>
    <t>3299 - EP</t>
  </si>
  <si>
    <t>NÚOV OP VpK 2007-13 Pilot z EU</t>
  </si>
  <si>
    <t>3299 - EO</t>
  </si>
  <si>
    <t>NÚOV OP VpK 2007-13 Pilot ze SR</t>
  </si>
  <si>
    <t>3809 - 68</t>
  </si>
  <si>
    <t>NIDV - US Richtrovy boudy OP VaVpI 2007-13 z EU</t>
  </si>
  <si>
    <t>3809 - 67</t>
  </si>
  <si>
    <t>NIDV - US Richtr.B. OP VaVpI 2007-13 ze SR</t>
  </si>
  <si>
    <t>3299- CZ</t>
  </si>
  <si>
    <t>VKC 2007-13 OP VpK ze SR hodnotitelský proces</t>
  </si>
  <si>
    <t>3299 - IZ</t>
  </si>
  <si>
    <t>ÚIV OP VpK 2007-13 Kvalita v terc.vzděl. z EU</t>
  </si>
  <si>
    <t>3299 - HH</t>
  </si>
  <si>
    <t>sk.3 OP VpK 2007-13 Eftrans z EU</t>
  </si>
  <si>
    <t>3299 - 09</t>
  </si>
  <si>
    <t>ÚIV - OP VpK 2007-13 EFIN z EU</t>
  </si>
  <si>
    <t>3299 - F5</t>
  </si>
  <si>
    <t>ÚIV - OP VpK 2007-13 RTV z EU</t>
  </si>
  <si>
    <t>3299- GU</t>
  </si>
  <si>
    <t>3299 - J6</t>
  </si>
  <si>
    <t>ÚIV - OP VpK 2007 -13 Kompetence III z EU</t>
  </si>
  <si>
    <t>3299 - J5</t>
  </si>
  <si>
    <t>ÚIV - OP VpK 2007-13 Kompetence III ze SR</t>
  </si>
  <si>
    <t>3299 - IY</t>
  </si>
  <si>
    <t>ÚIV OPVpK 2007-13 Kvalita v ter.vzděl. ze SR</t>
  </si>
  <si>
    <t>3299 - HG</t>
  </si>
  <si>
    <t>sk.3 OP VpK 2007-13 Eftrans ze SR</t>
  </si>
  <si>
    <t>3299 - 07</t>
  </si>
  <si>
    <t>ÚIV - OP VpK 2007-13 EFIN ze SR</t>
  </si>
  <si>
    <t>3299 - F4</t>
  </si>
  <si>
    <t>ÚIV - OP VpK 2007-13 RTV  ze SR</t>
  </si>
  <si>
    <t>3299- IP</t>
  </si>
  <si>
    <t>3299- IN</t>
  </si>
  <si>
    <t>3299- IM</t>
  </si>
  <si>
    <t>3299- JK</t>
  </si>
  <si>
    <t>DZS OPVpK 2007-13 Hodnotitelský proces z EU</t>
  </si>
  <si>
    <t>3299 - K3</t>
  </si>
  <si>
    <t>DZS OP VpK 2007-13 Kompetence II z EU</t>
  </si>
  <si>
    <t>3299 - K2</t>
  </si>
  <si>
    <t>DZS - OP VpK 2007-13 Kompetence II ze SR</t>
  </si>
  <si>
    <t>3146 - 74010018KE - 09</t>
  </si>
  <si>
    <t>NÚOV sk.4 OP Vpk 2007-13 PO1 - IPo z EU</t>
  </si>
  <si>
    <t>3146 - 74010018KS - 08</t>
  </si>
  <si>
    <t>NÚOV sk. 4 OP VpK 2007-13 PO1- IPo ze SR</t>
  </si>
  <si>
    <t>3299 - EN</t>
  </si>
  <si>
    <t>NÚOV OP VpK 2007-13 NZZ z EU</t>
  </si>
  <si>
    <t>3299 - EM</t>
  </si>
  <si>
    <t>NÚOV OP VpK 2007-13 NZZ ze SR</t>
  </si>
  <si>
    <t>3299- DK</t>
  </si>
  <si>
    <t>NÚOV 2007-13 OP VpK Metodika z EU</t>
  </si>
  <si>
    <t>3299 - DJ</t>
  </si>
  <si>
    <t>NÚOV 2007-13 OP VpK Metodika ze SR</t>
  </si>
  <si>
    <t>3299 - ER</t>
  </si>
  <si>
    <t>NÚOV OP VpK 2007-13 Kur S z EU</t>
  </si>
  <si>
    <t>3299 - EQ</t>
  </si>
  <si>
    <t>NÚOV OP VpK 2007-13 Kur S ze SR</t>
  </si>
  <si>
    <t>3299 - FJ</t>
  </si>
  <si>
    <t>NÚOV OP VpK 2007-13 Autoevaluce z EU</t>
  </si>
  <si>
    <t>3299 - FI</t>
  </si>
  <si>
    <t>NÚOV OP VpK 2007-13 Autoevaluce ze SR</t>
  </si>
  <si>
    <t>3299 - FN</t>
  </si>
  <si>
    <t>NÚOV - OP VpK 2007-13 NSK II z EU</t>
  </si>
  <si>
    <t>3299- FM</t>
  </si>
  <si>
    <t>NÚOV - OP VpK 2007-13 NSK II ze SR</t>
  </si>
  <si>
    <t>3299 - GC</t>
  </si>
  <si>
    <t>NÚOV - OP VpK 2007-13 Koncept z EU</t>
  </si>
  <si>
    <t>3299 - GB</t>
  </si>
  <si>
    <t>NÚOV - OP VpK 2007-13 Koncept ze SR</t>
  </si>
  <si>
    <t>3299 - H5</t>
  </si>
  <si>
    <t>NÚOV OP VpK 2007-13 UNIV II z EU</t>
  </si>
  <si>
    <t>3299 - H4</t>
  </si>
  <si>
    <t>NÚOV - OP VpK 2007-13 UNIV II ze SR</t>
  </si>
  <si>
    <t>3299 - I2</t>
  </si>
  <si>
    <t>NÚOV 2007-13 OP VpK VIP z EU</t>
  </si>
  <si>
    <t>3299 - I1</t>
  </si>
  <si>
    <t>NÚOV 2007-13 OP VpK VIP kariéra ze SR</t>
  </si>
  <si>
    <t>3299 - FM</t>
  </si>
  <si>
    <t xml:space="preserve">NÚV </t>
  </si>
  <si>
    <t>3299 - JZ</t>
  </si>
  <si>
    <t>NIDM OP VpK 2007-13 Ipo PO1 ze SR</t>
  </si>
  <si>
    <t>3299 - K1</t>
  </si>
  <si>
    <t>NIDM OP VpK 2007-13 Ipo PO1 z EU</t>
  </si>
  <si>
    <t>3314 - 15</t>
  </si>
  <si>
    <t>NTK OP VpK 2007-13 odb. 42 Vzdělávání z EU</t>
  </si>
  <si>
    <t>3314 - 14</t>
  </si>
  <si>
    <t>NTK OP VpK 2007-13 odb.42 Vzdělávání ze SR</t>
  </si>
  <si>
    <t>3809 - 73</t>
  </si>
  <si>
    <t>NTK - OP VaVpI 2007-13 tech.pomoc z EU</t>
  </si>
  <si>
    <t>3809 - 72</t>
  </si>
  <si>
    <t>NTK - OP VaVpI 2007-13 tech.pomoc ze SR</t>
  </si>
  <si>
    <t>3299 - F7</t>
  </si>
  <si>
    <t>NIDV - sk.4 OP VpK 2007-13 Maturita z EU</t>
  </si>
  <si>
    <t>3299 - F6</t>
  </si>
  <si>
    <t>NIDV - sk.4 OP VpK 2007-13 Maturita ze SR</t>
  </si>
  <si>
    <t>3299 - 66</t>
  </si>
  <si>
    <t>NIDV sk.4 Op VpK Absorpční kapacita ze EU</t>
  </si>
  <si>
    <t>3299 - FL</t>
  </si>
  <si>
    <t>NIDV sk. 4 OP VpK Autoevaluce z EU</t>
  </si>
  <si>
    <t>3299 - FK</t>
  </si>
  <si>
    <t>NIDV sk. 4 OP VpK 2007-13 Autoevaluace ze SR</t>
  </si>
  <si>
    <t>3299 - GM</t>
  </si>
  <si>
    <t>NIDV v OP VpK 2007-13 PO1 z EU</t>
  </si>
  <si>
    <t>3299 - GL</t>
  </si>
  <si>
    <t>NIDV v OP VpK 2007-13 PO 1 ze SR</t>
  </si>
  <si>
    <t>3299 - 25</t>
  </si>
  <si>
    <t>NIDV sk. 4 OP VpK Absorpční kapacita ze SR</t>
  </si>
  <si>
    <t>3299 - JM</t>
  </si>
  <si>
    <t>CZVV OP VpK 2007-13 odb.34 Audit z EU</t>
  </si>
  <si>
    <t>3299 - JL</t>
  </si>
  <si>
    <t>CZVV OP VpK 2007-13 odb 34 Audit ze SR</t>
  </si>
  <si>
    <t>3299 - JS</t>
  </si>
  <si>
    <t>CZVV OP VpK 2007-13 odb.34 Eftrans z EU</t>
  </si>
  <si>
    <t>3299 - JR</t>
  </si>
  <si>
    <t>CZVV OP VpK 2007-13 odb.34 Eftrans ze SR</t>
  </si>
  <si>
    <t>3299 - JU</t>
  </si>
  <si>
    <t>CZVV OP VpK 2007-13 odb.34 Qram z EU</t>
  </si>
  <si>
    <t>3299 - JT</t>
  </si>
  <si>
    <t>CZVV OP VpK 2007-13 odb. 34 Qram ze SR</t>
  </si>
  <si>
    <t xml:space="preserve">CZVV </t>
  </si>
  <si>
    <t>3146 - 02</t>
  </si>
  <si>
    <t>IPPP-KMENOVÁ ČINNOST</t>
  </si>
  <si>
    <t>3146 - 04</t>
  </si>
  <si>
    <t>IPPP-OST.VÝCH.ZAŘ. PROJEKTY</t>
  </si>
  <si>
    <t>3541 - 01</t>
  </si>
  <si>
    <t>IPPP-PROTIDROGOVÁ POL.</t>
  </si>
  <si>
    <t>3299 - 47</t>
  </si>
  <si>
    <t>VÚP-KMENOVÁ ČINNOST</t>
  </si>
  <si>
    <t>3299 - 48</t>
  </si>
  <si>
    <t>VÚP-PROJEKTY</t>
  </si>
  <si>
    <t>3299 - AD</t>
  </si>
  <si>
    <t>6221 - 04</t>
  </si>
  <si>
    <t>VÚP výuka čj pro azylanty dle usnesení vlády</t>
  </si>
  <si>
    <t>3299 - 38</t>
  </si>
  <si>
    <t>RB-KMENOVÁ ČINNOST</t>
  </si>
  <si>
    <t>3299 - 56</t>
  </si>
  <si>
    <t>VKC-KMENOVÁ ČINNOST</t>
  </si>
  <si>
    <t>3291 - 60</t>
  </si>
  <si>
    <t>ÚIV mezinár. konf., semináře a akce</t>
  </si>
  <si>
    <t>3299- 42</t>
  </si>
  <si>
    <t>3291 - 50</t>
  </si>
  <si>
    <t>3299 - G2</t>
  </si>
  <si>
    <t>DZS - ISPROFIN</t>
  </si>
  <si>
    <t>3299- 34</t>
  </si>
  <si>
    <t>3299 - 11</t>
  </si>
  <si>
    <t>3299 - AN</t>
  </si>
  <si>
    <t>3291 - 61</t>
  </si>
  <si>
    <t>NÚOV - mezinár. konference a akce</t>
  </si>
  <si>
    <t>3299 - 44</t>
  </si>
  <si>
    <t>NÚOV-KMENOVÁ ČINNOST</t>
  </si>
  <si>
    <t>3299 - 19</t>
  </si>
  <si>
    <t>NÚOV výdaje ISPROFIN</t>
  </si>
  <si>
    <t>3299 - 45</t>
  </si>
  <si>
    <t>NÚOV-PROJEKTY</t>
  </si>
  <si>
    <t>3299 - AC</t>
  </si>
  <si>
    <t>6221 - 08</t>
  </si>
  <si>
    <t>NÚV výuka čj. dle usnesení vlády</t>
  </si>
  <si>
    <t>NPMKK-KMENOVÁ ČINNOST</t>
  </si>
  <si>
    <t>3315- 03</t>
  </si>
  <si>
    <t>NPMKK - projekty</t>
  </si>
  <si>
    <t>3291 - 54</t>
  </si>
  <si>
    <t>NIDM - ostatní mezinár. semináře a konference</t>
  </si>
  <si>
    <t>3421  - 06</t>
  </si>
  <si>
    <t>NIDM Evropský rok dobrovolnictví</t>
  </si>
  <si>
    <t>3421 - 06</t>
  </si>
  <si>
    <t>3291 - 59</t>
  </si>
  <si>
    <t>NTK - mezinár.konference a semináře</t>
  </si>
  <si>
    <t>NTK-OST.MIMO  PROJEKTY A KMEN.ČINNOST</t>
  </si>
  <si>
    <t>NTK - účelová podpora aplikovaného výzkumu</t>
  </si>
  <si>
    <t>KJWF inst. VaV mezinár. spolupráce</t>
  </si>
  <si>
    <t>3299- 59</t>
  </si>
  <si>
    <t>NIDV PRAHA-KMENOVÁ ČINNOST</t>
  </si>
  <si>
    <t>3299 - 60</t>
  </si>
  <si>
    <t>NIDV PRAHA-PROJEKTY</t>
  </si>
  <si>
    <t>3299 - AH</t>
  </si>
  <si>
    <t>3299 - G5</t>
  </si>
  <si>
    <t>CZVV - PO  ISPROFIN</t>
  </si>
  <si>
    <t>3291 - 68</t>
  </si>
  <si>
    <t>CZVV - MKS a akce RF MŠMT</t>
  </si>
  <si>
    <t>3291 - 69</t>
  </si>
  <si>
    <t>CZVV - MKS a akce odb. 48 RF MŠMT</t>
  </si>
  <si>
    <t>3299- FY</t>
  </si>
  <si>
    <t>ANTIDOPINGOVÝ VÝBOR-KMEN.ČINNOST</t>
  </si>
  <si>
    <t>VÚP-OST.MIMO PROJ. A KMEN.ČIN.</t>
  </si>
  <si>
    <t>ÚIV-OST.MIMO  PROJ. A KMEN.ČIN.</t>
  </si>
  <si>
    <t>DZS-OST.MIMO  PROJ. A KMEN. ČIN.</t>
  </si>
  <si>
    <t>NÚOV-OST.MIMO PROJ.A KMEN.ČIN.</t>
  </si>
  <si>
    <t>NPMKK-OST.MIMO PROJ.A KMEN.ČIN.</t>
  </si>
  <si>
    <t>EU a FM celkem IPPP</t>
  </si>
  <si>
    <t>EU a FM celkem VÚP</t>
  </si>
  <si>
    <t>EU a FM celkem US RB</t>
  </si>
  <si>
    <t>EU a FM celkem VKC</t>
  </si>
  <si>
    <t>EU a FM celkem ÚIV</t>
  </si>
  <si>
    <t>EU a FM celkem DZS</t>
  </si>
  <si>
    <t>EU a FM celkem NÚV</t>
  </si>
  <si>
    <t>EU a FM celkem NIDM</t>
  </si>
  <si>
    <t>EU a FM celkem NTK</t>
  </si>
  <si>
    <t>EU a FM celkem NIDV</t>
  </si>
  <si>
    <t>EU a FM celkem CZVV</t>
  </si>
  <si>
    <t xml:space="preserve">EU a FM celkem NÚV </t>
  </si>
  <si>
    <t xml:space="preserve">EU a FM celkem CZVV </t>
  </si>
  <si>
    <t>NIDM ERD RF MŠMT</t>
  </si>
  <si>
    <t>NTK - mezinár.konference a sem. RF MŠMT</t>
  </si>
  <si>
    <t xml:space="preserve">Upravený rozpočet 2011 - v členění na rozpis rozpočtu v databázi ISROS a skutečně přidělené finanční prostředky na základě limitu v ČNB </t>
  </si>
  <si>
    <t>DZS - OP VpK 2007-13 hodnotitelský proces ze SR</t>
  </si>
  <si>
    <t>3299 - JJ</t>
  </si>
  <si>
    <t>VKC 2007-13 OP VpK z rozp.EU hodnotitelský proces</t>
  </si>
  <si>
    <t>VKC - OP VpK 2007-13 RTV z EU</t>
  </si>
  <si>
    <t>3299 - CY</t>
  </si>
  <si>
    <t>3299 - JC</t>
  </si>
  <si>
    <t>z EU 2327,763</t>
  </si>
  <si>
    <t>z KČ 7795</t>
  </si>
  <si>
    <t>vč. US RB</t>
  </si>
  <si>
    <t>je v NIDV</t>
  </si>
  <si>
    <t>rozdíl -přesun do nároků v r. 2012</t>
  </si>
  <si>
    <t>Rozdíl                    - úspora                + překročení (ke sl. 2)</t>
  </si>
  <si>
    <t>Rozdíl                   - úspora                + překročení</t>
  </si>
  <si>
    <t>Rozdíl                   - úspora               + překročení</t>
  </si>
  <si>
    <t>Rozdíl               - úspora          + překročení</t>
  </si>
  <si>
    <t>bez prostředků ze zahraničí</t>
  </si>
  <si>
    <t xml:space="preserve">Výnosy </t>
  </si>
  <si>
    <t>(v databázi ISROS)</t>
  </si>
  <si>
    <t>5331      (5336)                 01</t>
  </si>
  <si>
    <t>5331      (5336)                   02</t>
  </si>
  <si>
    <t>5331       (5336)                  05</t>
  </si>
  <si>
    <t>5331      (5336)</t>
  </si>
  <si>
    <t>5331       (5336)                   02</t>
  </si>
  <si>
    <t>5331        (5336)                  05</t>
  </si>
  <si>
    <t>5331     (5336)                 01</t>
  </si>
  <si>
    <t>Upravený rozpočet PO OPŘO na rok 2011 včetně nároků</t>
  </si>
  <si>
    <t>Celkový upravený rozpočet na projekty spolufinancované EU OPŘO na rok 2011</t>
  </si>
  <si>
    <t>Výsledek hospodaření OPŘO v hlavní činnosti za rok 2011</t>
  </si>
  <si>
    <t xml:space="preserve">Výsledek hospodaření OPŘO v jiné činnosti za rok 2011 </t>
  </si>
  <si>
    <t>DZS - mezinárodní semináře, konference</t>
  </si>
  <si>
    <t>DZS - souhrn programů kulturního dědictví</t>
  </si>
  <si>
    <t>NIDV PRAHA-OST.</t>
  </si>
  <si>
    <t>ESF</t>
  </si>
  <si>
    <t>provoz</t>
  </si>
  <si>
    <t>v tom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</si>
</sst>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/yy"/>
    <numFmt numFmtId="166" formatCode="d/m/yy\ h:mm"/>
    <numFmt numFmtId="167" formatCode="d/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dd/mm/yy"/>
    <numFmt numFmtId="181" formatCode="000\ 00"/>
    <numFmt numFmtId="182" formatCode="0.0000000"/>
    <numFmt numFmtId="183" formatCode="0_ ;[Red]\-0\ "/>
    <numFmt numFmtId="184" formatCode="#,##0_ ;[Red]\-#,##0\ "/>
    <numFmt numFmtId="185" formatCode="[$€-2]\ #\ ##,000_);[Red]\([$€-2]\ #\ ##,000\)"/>
  </numFmts>
  <fonts count="55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2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sz val="8"/>
      <name val="Arial"/>
      <family val="2"/>
    </font>
    <font>
      <i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2"/>
      <color indexed="10"/>
      <name val="Arial CE"/>
      <family val="2"/>
    </font>
    <font>
      <b/>
      <i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9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92">
    <xf numFmtId="0" fontId="0" fillId="0" borderId="0" xfId="0" applyAlignment="1">
      <alignment/>
    </xf>
    <xf numFmtId="0" fontId="2" fillId="0" borderId="0" xfId="48">
      <alignment/>
      <protection/>
    </xf>
    <xf numFmtId="0" fontId="4" fillId="0" borderId="0" xfId="50" applyFont="1">
      <alignment/>
      <protection/>
    </xf>
    <xf numFmtId="0" fontId="4" fillId="0" borderId="0" xfId="48" applyFont="1">
      <alignment/>
      <protection/>
    </xf>
    <xf numFmtId="0" fontId="2" fillId="0" borderId="0" xfId="48" applyFont="1">
      <alignment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1" xfId="48" applyFont="1" applyBorder="1" applyAlignment="1">
      <alignment horizontal="center" vertical="center" wrapText="1"/>
      <protection/>
    </xf>
    <xf numFmtId="0" fontId="5" fillId="0" borderId="0" xfId="48" applyFont="1" applyAlignment="1">
      <alignment horizontal="center" vertical="center" wrapText="1"/>
      <protection/>
    </xf>
    <xf numFmtId="0" fontId="5" fillId="0" borderId="12" xfId="48" applyFont="1" applyBorder="1" applyAlignment="1">
      <alignment horizontal="center"/>
      <protection/>
    </xf>
    <xf numFmtId="0" fontId="5" fillId="0" borderId="13" xfId="48" applyFont="1" applyBorder="1" applyAlignment="1">
      <alignment horizontal="center"/>
      <protection/>
    </xf>
    <xf numFmtId="2" fontId="2" fillId="0" borderId="0" xfId="48" applyNumberFormat="1">
      <alignment/>
      <protection/>
    </xf>
    <xf numFmtId="0" fontId="5" fillId="0" borderId="14" xfId="48" applyFont="1" applyBorder="1">
      <alignment/>
      <protection/>
    </xf>
    <xf numFmtId="4" fontId="2" fillId="0" borderId="15" xfId="48" applyNumberFormat="1" applyBorder="1">
      <alignment/>
      <protection/>
    </xf>
    <xf numFmtId="4" fontId="2" fillId="0" borderId="16" xfId="48" applyNumberFormat="1" applyBorder="1">
      <alignment/>
      <protection/>
    </xf>
    <xf numFmtId="0" fontId="5" fillId="0" borderId="17" xfId="48" applyFont="1" applyBorder="1">
      <alignment/>
      <protection/>
    </xf>
    <xf numFmtId="4" fontId="2" fillId="0" borderId="18" xfId="48" applyNumberFormat="1" applyBorder="1">
      <alignment/>
      <protection/>
    </xf>
    <xf numFmtId="4" fontId="2" fillId="0" borderId="19" xfId="48" applyNumberFormat="1" applyBorder="1">
      <alignment/>
      <protection/>
    </xf>
    <xf numFmtId="0" fontId="5" fillId="0" borderId="10" xfId="48" applyFont="1" applyBorder="1">
      <alignment/>
      <protection/>
    </xf>
    <xf numFmtId="4" fontId="5" fillId="0" borderId="10" xfId="48" applyNumberFormat="1" applyFont="1" applyBorder="1">
      <alignment/>
      <protection/>
    </xf>
    <xf numFmtId="4" fontId="2" fillId="0" borderId="16" xfId="48" applyNumberFormat="1" applyFont="1" applyBorder="1">
      <alignment/>
      <protection/>
    </xf>
    <xf numFmtId="0" fontId="5" fillId="0" borderId="0" xfId="48" applyFont="1" applyBorder="1">
      <alignment/>
      <protection/>
    </xf>
    <xf numFmtId="4" fontId="5" fillId="0" borderId="0" xfId="48" applyNumberFormat="1" applyFont="1" applyBorder="1" applyAlignment="1">
      <alignment horizontal="right"/>
      <protection/>
    </xf>
    <xf numFmtId="4" fontId="5" fillId="0" borderId="0" xfId="48" applyNumberFormat="1" applyFont="1" applyBorder="1">
      <alignment/>
      <protection/>
    </xf>
    <xf numFmtId="0" fontId="5" fillId="0" borderId="10" xfId="48" applyFont="1" applyBorder="1" applyAlignment="1">
      <alignment horizontal="center"/>
      <protection/>
    </xf>
    <xf numFmtId="4" fontId="2" fillId="0" borderId="15" xfId="48" applyNumberFormat="1" applyFont="1" applyBorder="1">
      <alignment/>
      <protection/>
    </xf>
    <xf numFmtId="0" fontId="5" fillId="0" borderId="0" xfId="51" applyFont="1" applyAlignment="1">
      <alignment horizontal="right"/>
      <protection/>
    </xf>
    <xf numFmtId="0" fontId="2" fillId="0" borderId="12" xfId="48" applyBorder="1">
      <alignment/>
      <protection/>
    </xf>
    <xf numFmtId="0" fontId="2" fillId="0" borderId="20" xfId="48" applyBorder="1">
      <alignment/>
      <protection/>
    </xf>
    <xf numFmtId="0" fontId="2" fillId="0" borderId="21" xfId="48" applyBorder="1">
      <alignment/>
      <protection/>
    </xf>
    <xf numFmtId="0" fontId="5" fillId="0" borderId="11" xfId="48" applyFont="1" applyBorder="1">
      <alignment/>
      <protection/>
    </xf>
    <xf numFmtId="0" fontId="2" fillId="0" borderId="22" xfId="48" applyBorder="1">
      <alignment/>
      <protection/>
    </xf>
    <xf numFmtId="0" fontId="5" fillId="0" borderId="23" xfId="48" applyFont="1" applyBorder="1" applyAlignment="1">
      <alignment horizontal="center" vertical="center" wrapText="1"/>
      <protection/>
    </xf>
    <xf numFmtId="0" fontId="5" fillId="0" borderId="24" xfId="48" applyFont="1" applyBorder="1" applyAlignment="1">
      <alignment horizontal="center" vertical="center" wrapText="1"/>
      <protection/>
    </xf>
    <xf numFmtId="0" fontId="2" fillId="0" borderId="25" xfId="48" applyBorder="1" applyAlignment="1">
      <alignment horizontal="center" vertical="center" wrapText="1"/>
      <protection/>
    </xf>
    <xf numFmtId="0" fontId="2" fillId="0" borderId="0" xfId="48" applyBorder="1">
      <alignment/>
      <protection/>
    </xf>
    <xf numFmtId="4" fontId="2" fillId="0" borderId="0" xfId="48" applyNumberFormat="1">
      <alignment/>
      <protection/>
    </xf>
    <xf numFmtId="0" fontId="2" fillId="0" borderId="26" xfId="48" applyBorder="1" applyAlignment="1">
      <alignment horizontal="center"/>
      <protection/>
    </xf>
    <xf numFmtId="0" fontId="2" fillId="0" borderId="27" xfId="48" applyBorder="1" applyAlignment="1">
      <alignment horizontal="center"/>
      <protection/>
    </xf>
    <xf numFmtId="0" fontId="5" fillId="24" borderId="14" xfId="48" applyFont="1" applyFill="1" applyBorder="1">
      <alignment/>
      <protection/>
    </xf>
    <xf numFmtId="4" fontId="2" fillId="24" borderId="15" xfId="48" applyNumberFormat="1" applyFill="1" applyBorder="1">
      <alignment/>
      <protection/>
    </xf>
    <xf numFmtId="4" fontId="2" fillId="24" borderId="18" xfId="48" applyNumberFormat="1" applyFill="1" applyBorder="1">
      <alignment/>
      <protection/>
    </xf>
    <xf numFmtId="0" fontId="2" fillId="24" borderId="0" xfId="48" applyFill="1">
      <alignment/>
      <protection/>
    </xf>
    <xf numFmtId="4" fontId="5" fillId="0" borderId="21" xfId="48" applyNumberFormat="1" applyFont="1" applyBorder="1">
      <alignment/>
      <protection/>
    </xf>
    <xf numFmtId="0" fontId="2" fillId="0" borderId="15" xfId="48" applyBorder="1" applyAlignment="1">
      <alignment horizontal="center"/>
      <protection/>
    </xf>
    <xf numFmtId="0" fontId="2" fillId="0" borderId="18" xfId="48" applyBorder="1" applyAlignment="1">
      <alignment horizontal="center"/>
      <protection/>
    </xf>
    <xf numFmtId="0" fontId="2" fillId="0" borderId="12" xfId="48" applyBorder="1" applyAlignment="1">
      <alignment horizontal="center" vertical="center" wrapText="1"/>
      <protection/>
    </xf>
    <xf numFmtId="0" fontId="5" fillId="0" borderId="28" xfId="48" applyFont="1" applyBorder="1">
      <alignment/>
      <protection/>
    </xf>
    <xf numFmtId="0" fontId="2" fillId="0" borderId="29" xfId="48" applyBorder="1">
      <alignment/>
      <protection/>
    </xf>
    <xf numFmtId="3" fontId="5" fillId="0" borderId="14" xfId="48" applyNumberFormat="1" applyFont="1" applyBorder="1">
      <alignment/>
      <protection/>
    </xf>
    <xf numFmtId="4" fontId="5" fillId="0" borderId="14" xfId="48" applyNumberFormat="1" applyFont="1" applyBorder="1">
      <alignment/>
      <protection/>
    </xf>
    <xf numFmtId="4" fontId="5" fillId="0" borderId="28" xfId="48" applyNumberFormat="1" applyFont="1" applyBorder="1">
      <alignment/>
      <protection/>
    </xf>
    <xf numFmtId="0" fontId="5" fillId="0" borderId="30" xfId="48" applyFont="1" applyBorder="1">
      <alignment/>
      <protection/>
    </xf>
    <xf numFmtId="0" fontId="2" fillId="0" borderId="28" xfId="48" applyBorder="1">
      <alignment/>
      <protection/>
    </xf>
    <xf numFmtId="0" fontId="5" fillId="0" borderId="31" xfId="48" applyFont="1" applyBorder="1">
      <alignment/>
      <protection/>
    </xf>
    <xf numFmtId="3" fontId="5" fillId="0" borderId="28" xfId="48" applyNumberFormat="1" applyFont="1" applyBorder="1">
      <alignment/>
      <protection/>
    </xf>
    <xf numFmtId="0" fontId="2" fillId="0" borderId="32" xfId="48" applyBorder="1">
      <alignment/>
      <protection/>
    </xf>
    <xf numFmtId="0" fontId="2" fillId="0" borderId="13" xfId="48" applyBorder="1">
      <alignment/>
      <protection/>
    </xf>
    <xf numFmtId="0" fontId="5" fillId="0" borderId="21" xfId="48" applyFont="1" applyBorder="1" applyAlignment="1">
      <alignment horizontal="center" vertical="center" wrapText="1"/>
      <protection/>
    </xf>
    <xf numFmtId="0" fontId="2" fillId="0" borderId="33" xfId="48" applyBorder="1">
      <alignment/>
      <protection/>
    </xf>
    <xf numFmtId="0" fontId="2" fillId="0" borderId="34" xfId="48" applyBorder="1">
      <alignment/>
      <protection/>
    </xf>
    <xf numFmtId="0" fontId="5" fillId="0" borderId="20" xfId="48" applyFont="1" applyBorder="1" applyAlignment="1">
      <alignment horizontal="center"/>
      <protection/>
    </xf>
    <xf numFmtId="4" fontId="2" fillId="0" borderId="29" xfId="48" applyNumberFormat="1" applyBorder="1">
      <alignment/>
      <protection/>
    </xf>
    <xf numFmtId="4" fontId="2" fillId="24" borderId="29" xfId="48" applyNumberFormat="1" applyFill="1" applyBorder="1">
      <alignment/>
      <protection/>
    </xf>
    <xf numFmtId="4" fontId="2" fillId="24" borderId="16" xfId="48" applyNumberFormat="1" applyFill="1" applyBorder="1">
      <alignment/>
      <protection/>
    </xf>
    <xf numFmtId="3" fontId="2" fillId="24" borderId="15" xfId="48" applyNumberFormat="1" applyFill="1" applyBorder="1">
      <alignment/>
      <protection/>
    </xf>
    <xf numFmtId="3" fontId="2" fillId="24" borderId="16" xfId="48" applyNumberFormat="1" applyFill="1" applyBorder="1">
      <alignment/>
      <protection/>
    </xf>
    <xf numFmtId="4" fontId="2" fillId="24" borderId="35" xfId="48" applyNumberFormat="1" applyFill="1" applyBorder="1">
      <alignment/>
      <protection/>
    </xf>
    <xf numFmtId="0" fontId="5" fillId="24" borderId="10" xfId="48" applyFont="1" applyFill="1" applyBorder="1" applyAlignment="1">
      <alignment horizontal="center"/>
      <protection/>
    </xf>
    <xf numFmtId="4" fontId="5" fillId="24" borderId="22" xfId="48" applyNumberFormat="1" applyFont="1" applyFill="1" applyBorder="1">
      <alignment/>
      <protection/>
    </xf>
    <xf numFmtId="4" fontId="5" fillId="24" borderId="10" xfId="48" applyNumberFormat="1" applyFont="1" applyFill="1" applyBorder="1">
      <alignment/>
      <protection/>
    </xf>
    <xf numFmtId="4" fontId="2" fillId="24" borderId="15" xfId="48" applyNumberFormat="1" applyFont="1" applyFill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quotePrefix="1">
      <alignment/>
      <protection/>
    </xf>
    <xf numFmtId="0" fontId="8" fillId="0" borderId="0" xfId="49" applyFont="1">
      <alignment/>
      <protection/>
    </xf>
    <xf numFmtId="14" fontId="4" fillId="0" borderId="0" xfId="49" applyNumberFormat="1" applyFont="1" applyFill="1" quotePrefix="1">
      <alignment/>
      <protection/>
    </xf>
    <xf numFmtId="0" fontId="2" fillId="0" borderId="0" xfId="49">
      <alignment/>
      <protection/>
    </xf>
    <xf numFmtId="0" fontId="4" fillId="0" borderId="0" xfId="52" applyFont="1">
      <alignment/>
      <protection/>
    </xf>
    <xf numFmtId="14" fontId="4" fillId="0" borderId="0" xfId="49" applyNumberFormat="1" applyFont="1" quotePrefix="1">
      <alignment/>
      <protection/>
    </xf>
    <xf numFmtId="0" fontId="4" fillId="0" borderId="0" xfId="49" applyFont="1" applyAlignment="1">
      <alignment horizontal="right"/>
      <protection/>
    </xf>
    <xf numFmtId="0" fontId="8" fillId="0" borderId="0" xfId="49" applyFont="1" applyFill="1">
      <alignment/>
      <protection/>
    </xf>
    <xf numFmtId="0" fontId="6" fillId="0" borderId="0" xfId="0" applyFont="1" applyAlignment="1">
      <alignment/>
    </xf>
    <xf numFmtId="0" fontId="0" fillId="0" borderId="36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24" borderId="36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4" borderId="14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6" fillId="0" borderId="43" xfId="0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2" fillId="0" borderId="0" xfId="51">
      <alignment/>
      <protection/>
    </xf>
    <xf numFmtId="0" fontId="11" fillId="0" borderId="0" xfId="51" applyFont="1">
      <alignment/>
      <protection/>
    </xf>
    <xf numFmtId="0" fontId="4" fillId="0" borderId="0" xfId="50" applyFont="1" applyAlignment="1">
      <alignment horizontal="right"/>
      <protection/>
    </xf>
    <xf numFmtId="0" fontId="4" fillId="0" borderId="0" xfId="51" applyFont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Font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5" fillId="0" borderId="44" xfId="51" applyFont="1" applyBorder="1" applyAlignment="1">
      <alignment horizontal="center" vertical="center" wrapText="1"/>
      <protection/>
    </xf>
    <xf numFmtId="0" fontId="5" fillId="0" borderId="45" xfId="51" applyFont="1" applyBorder="1" applyAlignment="1">
      <alignment horizontal="center" vertical="center" wrapText="1"/>
      <protection/>
    </xf>
    <xf numFmtId="0" fontId="2" fillId="0" borderId="46" xfId="51" applyBorder="1">
      <alignment/>
      <protection/>
    </xf>
    <xf numFmtId="0" fontId="5" fillId="0" borderId="47" xfId="51" applyFont="1" applyBorder="1" applyAlignment="1">
      <alignment horizontal="center"/>
      <protection/>
    </xf>
    <xf numFmtId="0" fontId="5" fillId="0" borderId="48" xfId="51" applyFont="1" applyBorder="1" applyAlignment="1">
      <alignment horizontal="center"/>
      <protection/>
    </xf>
    <xf numFmtId="0" fontId="5" fillId="0" borderId="45" xfId="51" applyFont="1" applyBorder="1" applyAlignment="1">
      <alignment horizontal="center"/>
      <protection/>
    </xf>
    <xf numFmtId="173" fontId="5" fillId="0" borderId="16" xfId="51" applyNumberFormat="1" applyFont="1" applyFill="1" applyBorder="1">
      <alignment/>
      <protection/>
    </xf>
    <xf numFmtId="0" fontId="5" fillId="0" borderId="28" xfId="51" applyFont="1" applyFill="1" applyBorder="1">
      <alignment/>
      <protection/>
    </xf>
    <xf numFmtId="0" fontId="5" fillId="0" borderId="28" xfId="51" applyFont="1" applyBorder="1">
      <alignment/>
      <protection/>
    </xf>
    <xf numFmtId="0" fontId="5" fillId="0" borderId="28" xfId="51" applyFont="1" applyBorder="1">
      <alignment/>
      <protection/>
    </xf>
    <xf numFmtId="0" fontId="6" fillId="0" borderId="28" xfId="0" applyFont="1" applyBorder="1" applyAlignment="1">
      <alignment/>
    </xf>
    <xf numFmtId="0" fontId="6" fillId="0" borderId="32" xfId="0" applyFont="1" applyBorder="1" applyAlignment="1">
      <alignment/>
    </xf>
    <xf numFmtId="173" fontId="5" fillId="0" borderId="19" xfId="51" applyNumberFormat="1" applyFont="1" applyFill="1" applyBorder="1">
      <alignment/>
      <protection/>
    </xf>
    <xf numFmtId="0" fontId="5" fillId="0" borderId="10" xfId="51" applyFont="1" applyBorder="1">
      <alignment/>
      <protection/>
    </xf>
    <xf numFmtId="173" fontId="4" fillId="0" borderId="45" xfId="51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14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9" xfId="0" applyFill="1" applyBorder="1" applyAlignment="1">
      <alignment horizontal="center" textRotation="90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24" borderId="52" xfId="0" applyFill="1" applyBorder="1" applyAlignment="1">
      <alignment horizontal="center" vertical="top" wrapText="1"/>
    </xf>
    <xf numFmtId="0" fontId="0" fillId="0" borderId="42" xfId="0" applyBorder="1" applyAlignment="1">
      <alignment horizontal="left"/>
    </xf>
    <xf numFmtId="3" fontId="0" fillId="0" borderId="36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3" fontId="0" fillId="0" borderId="29" xfId="0" applyNumberFormat="1" applyFill="1" applyBorder="1" applyAlignment="1">
      <alignment/>
    </xf>
    <xf numFmtId="2" fontId="2" fillId="0" borderId="15" xfId="48" applyNumberFormat="1" applyBorder="1">
      <alignment/>
      <protection/>
    </xf>
    <xf numFmtId="2" fontId="2" fillId="24" borderId="15" xfId="48" applyNumberFormat="1" applyFill="1" applyBorder="1">
      <alignment/>
      <protection/>
    </xf>
    <xf numFmtId="176" fontId="2" fillId="0" borderId="15" xfId="48" applyNumberFormat="1" applyBorder="1">
      <alignment/>
      <protection/>
    </xf>
    <xf numFmtId="4" fontId="2" fillId="0" borderId="15" xfId="48" applyNumberFormat="1" applyFont="1" applyFill="1" applyBorder="1">
      <alignment/>
      <protection/>
    </xf>
    <xf numFmtId="3" fontId="4" fillId="0" borderId="21" xfId="51" applyNumberFormat="1" applyFont="1" applyBorder="1">
      <alignment/>
      <protection/>
    </xf>
    <xf numFmtId="3" fontId="4" fillId="0" borderId="44" xfId="51" applyNumberFormat="1" applyFont="1" applyBorder="1">
      <alignment/>
      <protection/>
    </xf>
    <xf numFmtId="4" fontId="2" fillId="0" borderId="15" xfId="48" applyNumberFormat="1" applyFill="1" applyBorder="1">
      <alignment/>
      <protection/>
    </xf>
    <xf numFmtId="0" fontId="0" fillId="24" borderId="56" xfId="0" applyFill="1" applyBorder="1" applyAlignment="1">
      <alignment horizontal="center" textRotation="90" wrapText="1"/>
    </xf>
    <xf numFmtId="0" fontId="5" fillId="24" borderId="30" xfId="48" applyFont="1" applyFill="1" applyBorder="1">
      <alignment/>
      <protection/>
    </xf>
    <xf numFmtId="0" fontId="5" fillId="24" borderId="31" xfId="48" applyFont="1" applyFill="1" applyBorder="1">
      <alignment/>
      <protection/>
    </xf>
    <xf numFmtId="0" fontId="5" fillId="24" borderId="21" xfId="48" applyFont="1" applyFill="1" applyBorder="1">
      <alignment/>
      <protection/>
    </xf>
    <xf numFmtId="0" fontId="2" fillId="0" borderId="28" xfId="48" applyBorder="1" applyAlignment="1">
      <alignment horizontal="center"/>
      <protection/>
    </xf>
    <xf numFmtId="0" fontId="2" fillId="24" borderId="28" xfId="48" applyFill="1" applyBorder="1" applyAlignment="1">
      <alignment horizontal="center"/>
      <protection/>
    </xf>
    <xf numFmtId="4" fontId="2" fillId="0" borderId="29" xfId="48" applyNumberFormat="1" applyFont="1" applyBorder="1">
      <alignment/>
      <protection/>
    </xf>
    <xf numFmtId="4" fontId="5" fillId="0" borderId="22" xfId="48" applyNumberFormat="1" applyFont="1" applyBorder="1">
      <alignment/>
      <protection/>
    </xf>
    <xf numFmtId="0" fontId="2" fillId="0" borderId="57" xfId="48" applyBorder="1">
      <alignment/>
      <protection/>
    </xf>
    <xf numFmtId="0" fontId="5" fillId="4" borderId="44" xfId="51" applyFont="1" applyFill="1" applyBorder="1" applyAlignment="1">
      <alignment horizontal="center" vertical="center" wrapText="1"/>
      <protection/>
    </xf>
    <xf numFmtId="0" fontId="5" fillId="4" borderId="48" xfId="51" applyFont="1" applyFill="1" applyBorder="1" applyAlignment="1">
      <alignment horizontal="center"/>
      <protection/>
    </xf>
    <xf numFmtId="4" fontId="0" fillId="0" borderId="54" xfId="0" applyNumberFormat="1" applyFill="1" applyBorder="1" applyAlignment="1">
      <alignment/>
    </xf>
    <xf numFmtId="0" fontId="13" fillId="0" borderId="10" xfId="51" applyFont="1" applyBorder="1" applyAlignment="1">
      <alignment horizontal="center" vertical="center" wrapText="1"/>
      <protection/>
    </xf>
    <xf numFmtId="0" fontId="13" fillId="0" borderId="21" xfId="51" applyFont="1" applyBorder="1" applyAlignment="1">
      <alignment horizontal="center" vertical="center" wrapText="1"/>
      <protection/>
    </xf>
    <xf numFmtId="0" fontId="13" fillId="0" borderId="44" xfId="51" applyFont="1" applyBorder="1" applyAlignment="1">
      <alignment horizontal="center" vertical="center" wrapText="1"/>
      <protection/>
    </xf>
    <xf numFmtId="0" fontId="13" fillId="0" borderId="45" xfId="51" applyFont="1" applyBorder="1" applyAlignment="1">
      <alignment horizontal="center" vertical="center" wrapText="1"/>
      <protection/>
    </xf>
    <xf numFmtId="0" fontId="12" fillId="0" borderId="46" xfId="51" applyFont="1" applyBorder="1">
      <alignment/>
      <protection/>
    </xf>
    <xf numFmtId="0" fontId="13" fillId="0" borderId="47" xfId="51" applyFont="1" applyBorder="1" applyAlignment="1">
      <alignment horizontal="center"/>
      <protection/>
    </xf>
    <xf numFmtId="0" fontId="13" fillId="0" borderId="48" xfId="51" applyFont="1" applyBorder="1" applyAlignment="1">
      <alignment horizontal="center"/>
      <protection/>
    </xf>
    <xf numFmtId="0" fontId="13" fillId="0" borderId="45" xfId="51" applyFont="1" applyBorder="1" applyAlignment="1">
      <alignment horizontal="center"/>
      <protection/>
    </xf>
    <xf numFmtId="0" fontId="13" fillId="0" borderId="28" xfId="51" applyFont="1" applyFill="1" applyBorder="1">
      <alignment/>
      <protection/>
    </xf>
    <xf numFmtId="0" fontId="13" fillId="0" borderId="28" xfId="51" applyFont="1" applyBorder="1">
      <alignment/>
      <protection/>
    </xf>
    <xf numFmtId="0" fontId="13" fillId="0" borderId="28" xfId="51" applyFont="1" applyBorder="1">
      <alignment/>
      <protection/>
    </xf>
    <xf numFmtId="0" fontId="32" fillId="0" borderId="28" xfId="0" applyFont="1" applyBorder="1" applyAlignment="1">
      <alignment/>
    </xf>
    <xf numFmtId="0" fontId="5" fillId="0" borderId="22" xfId="48" applyFont="1" applyBorder="1" applyAlignment="1">
      <alignment horizontal="center" vertical="center" wrapText="1"/>
      <protection/>
    </xf>
    <xf numFmtId="0" fontId="5" fillId="0" borderId="58" xfId="48" applyFont="1" applyBorder="1" applyAlignment="1">
      <alignment horizontal="center" vertical="center" wrapText="1"/>
      <protection/>
    </xf>
    <xf numFmtId="4" fontId="2" fillId="0" borderId="18" xfId="48" applyNumberFormat="1" applyFill="1" applyBorder="1">
      <alignment/>
      <protection/>
    </xf>
    <xf numFmtId="1" fontId="0" fillId="0" borderId="0" xfId="0" applyNumberFormat="1" applyFill="1" applyAlignment="1">
      <alignment/>
    </xf>
    <xf numFmtId="0" fontId="2" fillId="0" borderId="28" xfId="51" applyFont="1" applyFill="1" applyBorder="1">
      <alignment/>
      <protection/>
    </xf>
    <xf numFmtId="4" fontId="5" fillId="0" borderId="10" xfId="48" applyNumberFormat="1" applyFont="1" applyFill="1" applyBorder="1">
      <alignment/>
      <protection/>
    </xf>
    <xf numFmtId="0" fontId="2" fillId="0" borderId="0" xfId="48" applyFill="1">
      <alignment/>
      <protection/>
    </xf>
    <xf numFmtId="0" fontId="5" fillId="0" borderId="12" xfId="48" applyFont="1" applyFill="1" applyBorder="1" applyAlignment="1">
      <alignment horizontal="center"/>
      <protection/>
    </xf>
    <xf numFmtId="3" fontId="12" fillId="17" borderId="15" xfId="51" applyNumberFormat="1" applyFont="1" applyFill="1" applyBorder="1">
      <alignment/>
      <protection/>
    </xf>
    <xf numFmtId="0" fontId="4" fillId="0" borderId="0" xfId="0" applyFont="1" applyAlignment="1">
      <alignment/>
    </xf>
    <xf numFmtId="0" fontId="0" fillId="17" borderId="43" xfId="0" applyFill="1" applyBorder="1" applyAlignment="1">
      <alignment horizontal="center" vertical="top" wrapText="1"/>
    </xf>
    <xf numFmtId="3" fontId="0" fillId="24" borderId="59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0" fillId="25" borderId="36" xfId="0" applyNumberFormat="1" applyFill="1" applyBorder="1" applyAlignment="1">
      <alignment/>
    </xf>
    <xf numFmtId="0" fontId="4" fillId="0" borderId="0" xfId="50" applyFont="1" applyFill="1">
      <alignment/>
      <protection/>
    </xf>
    <xf numFmtId="0" fontId="5" fillId="0" borderId="0" xfId="51" applyFont="1" applyFill="1" applyAlignment="1">
      <alignment horizontal="right"/>
      <protection/>
    </xf>
    <xf numFmtId="0" fontId="2" fillId="0" borderId="0" xfId="48" applyFont="1" applyFill="1">
      <alignment/>
      <protection/>
    </xf>
    <xf numFmtId="0" fontId="2" fillId="0" borderId="21" xfId="48" applyFill="1" applyBorder="1">
      <alignment/>
      <protection/>
    </xf>
    <xf numFmtId="0" fontId="5" fillId="0" borderId="11" xfId="48" applyFont="1" applyFill="1" applyBorder="1">
      <alignment/>
      <protection/>
    </xf>
    <xf numFmtId="0" fontId="2" fillId="0" borderId="22" xfId="48" applyFill="1" applyBorder="1">
      <alignment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/>
      <protection/>
    </xf>
    <xf numFmtId="4" fontId="2" fillId="0" borderId="16" xfId="48" applyNumberFormat="1" applyFill="1" applyBorder="1">
      <alignment/>
      <protection/>
    </xf>
    <xf numFmtId="4" fontId="2" fillId="0" borderId="19" xfId="48" applyNumberFormat="1" applyFill="1" applyBorder="1">
      <alignment/>
      <protection/>
    </xf>
    <xf numFmtId="4" fontId="5" fillId="0" borderId="21" xfId="48" applyNumberFormat="1" applyFont="1" applyFill="1" applyBorder="1">
      <alignment/>
      <protection/>
    </xf>
    <xf numFmtId="3" fontId="5" fillId="0" borderId="14" xfId="48" applyNumberFormat="1" applyFont="1" applyFill="1" applyBorder="1">
      <alignment/>
      <protection/>
    </xf>
    <xf numFmtId="4" fontId="5" fillId="0" borderId="14" xfId="48" applyNumberFormat="1" applyFont="1" applyFill="1" applyBorder="1">
      <alignment/>
      <protection/>
    </xf>
    <xf numFmtId="4" fontId="5" fillId="0" borderId="28" xfId="48" applyNumberFormat="1" applyFont="1" applyFill="1" applyBorder="1">
      <alignment/>
      <protection/>
    </xf>
    <xf numFmtId="3" fontId="5" fillId="0" borderId="28" xfId="48" applyNumberFormat="1" applyFont="1" applyFill="1" applyBorder="1">
      <alignment/>
      <protection/>
    </xf>
    <xf numFmtId="0" fontId="5" fillId="19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7" borderId="60" xfId="0" applyFont="1" applyFill="1" applyBorder="1" applyAlignment="1">
      <alignment horizontal="left" vertical="center"/>
    </xf>
    <xf numFmtId="0" fontId="5" fillId="17" borderId="61" xfId="0" applyFont="1" applyFill="1" applyBorder="1" applyAlignment="1">
      <alignment horizontal="left" vertical="center"/>
    </xf>
    <xf numFmtId="0" fontId="5" fillId="17" borderId="61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5" fillId="18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/>
    </xf>
    <xf numFmtId="49" fontId="2" fillId="0" borderId="65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/>
    </xf>
    <xf numFmtId="0" fontId="5" fillId="18" borderId="14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0" fontId="5" fillId="18" borderId="14" xfId="0" applyFont="1" applyFill="1" applyBorder="1" applyAlignment="1">
      <alignment horizontal="center" vertical="top"/>
    </xf>
    <xf numFmtId="0" fontId="5" fillId="18" borderId="15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right"/>
    </xf>
    <xf numFmtId="0" fontId="2" fillId="0" borderId="67" xfId="0" applyFont="1" applyFill="1" applyBorder="1" applyAlignment="1">
      <alignment horizontal="left"/>
    </xf>
    <xf numFmtId="49" fontId="2" fillId="0" borderId="67" xfId="0" applyNumberFormat="1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/>
    </xf>
    <xf numFmtId="0" fontId="5" fillId="17" borderId="61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right"/>
    </xf>
    <xf numFmtId="0" fontId="0" fillId="24" borderId="68" xfId="0" applyFill="1" applyBorder="1" applyAlignment="1">
      <alignment horizontal="left"/>
    </xf>
    <xf numFmtId="0" fontId="0" fillId="24" borderId="64" xfId="0" applyFill="1" applyBorder="1" applyAlignment="1">
      <alignment horizontal="left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24" borderId="64" xfId="0" applyNumberFormat="1" applyFont="1" applyFill="1" applyBorder="1" applyAlignment="1">
      <alignment horizontal="center" vertical="center"/>
    </xf>
    <xf numFmtId="0" fontId="0" fillId="24" borderId="69" xfId="0" applyFill="1" applyBorder="1" applyAlignment="1">
      <alignment horizontal="left"/>
    </xf>
    <xf numFmtId="49" fontId="2" fillId="0" borderId="66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0" fontId="0" fillId="0" borderId="65" xfId="0" applyFill="1" applyBorder="1" applyAlignment="1">
      <alignment horizontal="left"/>
    </xf>
    <xf numFmtId="49" fontId="2" fillId="0" borderId="34" xfId="0" applyNumberFormat="1" applyFont="1" applyFill="1" applyBorder="1" applyAlignment="1">
      <alignment horizontal="center" vertical="center"/>
    </xf>
    <xf numFmtId="0" fontId="5" fillId="18" borderId="60" xfId="0" applyFont="1" applyFill="1" applyBorder="1" applyAlignment="1">
      <alignment horizontal="center"/>
    </xf>
    <xf numFmtId="0" fontId="5" fillId="18" borderId="61" xfId="0" applyFont="1" applyFill="1" applyBorder="1" applyAlignment="1">
      <alignment horizontal="left"/>
    </xf>
    <xf numFmtId="0" fontId="34" fillId="18" borderId="56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right"/>
    </xf>
    <xf numFmtId="0" fontId="5" fillId="18" borderId="15" xfId="0" applyFont="1" applyFill="1" applyBorder="1" applyAlignment="1">
      <alignment horizontal="left"/>
    </xf>
    <xf numFmtId="49" fontId="2" fillId="18" borderId="15" xfId="0" applyNumberFormat="1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right"/>
    </xf>
    <xf numFmtId="0" fontId="5" fillId="17" borderId="38" xfId="0" applyFont="1" applyFill="1" applyBorder="1" applyAlignment="1">
      <alignment horizontal="left"/>
    </xf>
    <xf numFmtId="49" fontId="2" fillId="17" borderId="38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 horizontal="left"/>
    </xf>
    <xf numFmtId="0" fontId="0" fillId="25" borderId="16" xfId="0" applyFill="1" applyBorder="1" applyAlignment="1">
      <alignment wrapText="1"/>
    </xf>
    <xf numFmtId="0" fontId="0" fillId="0" borderId="56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0" fillId="0" borderId="71" xfId="0" applyBorder="1" applyAlignment="1">
      <alignment horizontal="center" textRotation="90" wrapText="1"/>
    </xf>
    <xf numFmtId="0" fontId="0" fillId="0" borderId="61" xfId="0" applyBorder="1" applyAlignment="1">
      <alignment horizontal="center" textRotation="90" wrapText="1"/>
    </xf>
    <xf numFmtId="0" fontId="0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17" fillId="4" borderId="15" xfId="0" applyFont="1" applyFill="1" applyBorder="1" applyAlignment="1">
      <alignment/>
    </xf>
    <xf numFmtId="4" fontId="2" fillId="24" borderId="29" xfId="48" applyNumberFormat="1" applyFont="1" applyFill="1" applyBorder="1">
      <alignment/>
      <protection/>
    </xf>
    <xf numFmtId="4" fontId="2" fillId="0" borderId="41" xfId="48" applyNumberFormat="1" applyBorder="1">
      <alignment/>
      <protection/>
    </xf>
    <xf numFmtId="0" fontId="5" fillId="0" borderId="72" xfId="48" applyFont="1" applyBorder="1" applyAlignment="1">
      <alignment horizontal="center" vertical="center" wrapText="1"/>
      <protection/>
    </xf>
    <xf numFmtId="0" fontId="5" fillId="0" borderId="73" xfId="48" applyFont="1" applyBorder="1" applyAlignment="1">
      <alignment horizontal="center"/>
      <protection/>
    </xf>
    <xf numFmtId="4" fontId="2" fillId="0" borderId="41" xfId="48" applyNumberFormat="1" applyFont="1" applyBorder="1">
      <alignment/>
      <protection/>
    </xf>
    <xf numFmtId="0" fontId="5" fillId="0" borderId="74" xfId="48" applyFont="1" applyBorder="1">
      <alignment/>
      <protection/>
    </xf>
    <xf numFmtId="0" fontId="5" fillId="0" borderId="21" xfId="48" applyFont="1" applyBorder="1">
      <alignment/>
      <protection/>
    </xf>
    <xf numFmtId="0" fontId="6" fillId="0" borderId="22" xfId="0" applyFont="1" applyFill="1" applyBorder="1" applyAlignment="1">
      <alignment horizontal="center" wrapText="1"/>
    </xf>
    <xf numFmtId="4" fontId="2" fillId="0" borderId="75" xfId="48" applyNumberFormat="1" applyBorder="1">
      <alignment/>
      <protection/>
    </xf>
    <xf numFmtId="4" fontId="2" fillId="0" borderId="57" xfId="48" applyNumberFormat="1" applyBorder="1">
      <alignment/>
      <protection/>
    </xf>
    <xf numFmtId="0" fontId="5" fillId="0" borderId="76" xfId="48" applyFont="1" applyFill="1" applyBorder="1" applyAlignment="1">
      <alignment horizontal="center" vertical="center" wrapText="1"/>
      <protection/>
    </xf>
    <xf numFmtId="0" fontId="6" fillId="0" borderId="45" xfId="0" applyFont="1" applyFill="1" applyBorder="1" applyAlignment="1">
      <alignment horizontal="center" wrapText="1"/>
    </xf>
    <xf numFmtId="0" fontId="5" fillId="0" borderId="77" xfId="48" applyFont="1" applyBorder="1" applyAlignment="1">
      <alignment horizontal="center"/>
      <protection/>
    </xf>
    <xf numFmtId="0" fontId="5" fillId="0" borderId="78" xfId="48" applyFont="1" applyBorder="1" applyAlignment="1">
      <alignment horizontal="center"/>
      <protection/>
    </xf>
    <xf numFmtId="4" fontId="2" fillId="0" borderId="42" xfId="48" applyNumberFormat="1" applyBorder="1">
      <alignment/>
      <protection/>
    </xf>
    <xf numFmtId="4" fontId="2" fillId="0" borderId="41" xfId="48" applyNumberFormat="1" applyFill="1" applyBorder="1">
      <alignment/>
      <protection/>
    </xf>
    <xf numFmtId="4" fontId="2" fillId="0" borderId="14" xfId="48" applyNumberFormat="1" applyBorder="1">
      <alignment/>
      <protection/>
    </xf>
    <xf numFmtId="4" fontId="5" fillId="0" borderId="76" xfId="48" applyNumberFormat="1" applyFont="1" applyBorder="1" applyAlignment="1">
      <alignment horizontal="right"/>
      <protection/>
    </xf>
    <xf numFmtId="4" fontId="5" fillId="0" borderId="45" xfId="48" applyNumberFormat="1" applyFont="1" applyFill="1" applyBorder="1">
      <alignment/>
      <protection/>
    </xf>
    <xf numFmtId="4" fontId="2" fillId="0" borderId="79" xfId="48" applyNumberFormat="1" applyBorder="1">
      <alignment/>
      <protection/>
    </xf>
    <xf numFmtId="0" fontId="5" fillId="0" borderId="78" xfId="48" applyFont="1" applyFill="1" applyBorder="1" applyAlignment="1">
      <alignment horizontal="center"/>
      <protection/>
    </xf>
    <xf numFmtId="4" fontId="5" fillId="0" borderId="45" xfId="48" applyNumberFormat="1" applyFont="1" applyBorder="1">
      <alignment/>
      <protection/>
    </xf>
    <xf numFmtId="4" fontId="2" fillId="0" borderId="75" xfId="48" applyNumberFormat="1" applyFont="1" applyBorder="1">
      <alignment/>
      <protection/>
    </xf>
    <xf numFmtId="4" fontId="2" fillId="0" borderId="14" xfId="48" applyNumberFormat="1" applyFill="1" applyBorder="1">
      <alignment/>
      <protection/>
    </xf>
    <xf numFmtId="4" fontId="2" fillId="0" borderId="57" xfId="48" applyNumberFormat="1" applyFont="1" applyBorder="1">
      <alignment/>
      <protection/>
    </xf>
    <xf numFmtId="4" fontId="2" fillId="0" borderId="42" xfId="48" applyNumberFormat="1" applyBorder="1" applyAlignment="1">
      <alignment horizontal="right"/>
      <protection/>
    </xf>
    <xf numFmtId="4" fontId="2" fillId="0" borderId="14" xfId="48" applyNumberFormat="1" applyBorder="1" applyAlignment="1">
      <alignment horizontal="right"/>
      <protection/>
    </xf>
    <xf numFmtId="4" fontId="5" fillId="0" borderId="76" xfId="48" applyNumberFormat="1" applyFont="1" applyBorder="1" applyAlignment="1">
      <alignment horizontal="right"/>
      <protection/>
    </xf>
    <xf numFmtId="0" fontId="39" fillId="0" borderId="0" xfId="0" applyFont="1" applyAlignment="1">
      <alignment wrapText="1"/>
    </xf>
    <xf numFmtId="0" fontId="0" fillId="0" borderId="0" xfId="0" applyFont="1" applyAlignment="1">
      <alignment horizontal="right"/>
    </xf>
    <xf numFmtId="4" fontId="5" fillId="17" borderId="61" xfId="0" applyNumberFormat="1" applyFont="1" applyFill="1" applyBorder="1" applyAlignment="1">
      <alignment horizontal="right"/>
    </xf>
    <xf numFmtId="4" fontId="5" fillId="17" borderId="59" xfId="0" applyNumberFormat="1" applyFont="1" applyFill="1" applyBorder="1" applyAlignment="1">
      <alignment horizontal="right"/>
    </xf>
    <xf numFmtId="4" fontId="5" fillId="18" borderId="15" xfId="0" applyNumberFormat="1" applyFont="1" applyFill="1" applyBorder="1" applyAlignment="1">
      <alignment horizontal="right"/>
    </xf>
    <xf numFmtId="4" fontId="5" fillId="18" borderId="16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65" xfId="0" applyNumberFormat="1" applyFont="1" applyFill="1" applyBorder="1" applyAlignment="1">
      <alignment horizontal="right"/>
    </xf>
    <xf numFmtId="4" fontId="2" fillId="0" borderId="80" xfId="0" applyNumberFormat="1" applyFont="1" applyFill="1" applyBorder="1" applyAlignment="1">
      <alignment horizontal="right"/>
    </xf>
    <xf numFmtId="0" fontId="2" fillId="0" borderId="62" xfId="0" applyFont="1" applyFill="1" applyBorder="1" applyAlignment="1">
      <alignment horizontal="right" vertical="top"/>
    </xf>
    <xf numFmtId="0" fontId="2" fillId="0" borderId="64" xfId="0" applyFont="1" applyFill="1" applyBorder="1" applyAlignment="1">
      <alignment horizontal="left" wrapText="1"/>
    </xf>
    <xf numFmtId="4" fontId="2" fillId="0" borderId="36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wrapText="1"/>
    </xf>
    <xf numFmtId="4" fontId="2" fillId="0" borderId="67" xfId="0" applyNumberFormat="1" applyFont="1" applyFill="1" applyBorder="1" applyAlignment="1">
      <alignment horizontal="right"/>
    </xf>
    <xf numFmtId="4" fontId="2" fillId="0" borderId="51" xfId="0" applyNumberFormat="1" applyFont="1" applyFill="1" applyBorder="1" applyAlignment="1">
      <alignment horizontal="right"/>
    </xf>
    <xf numFmtId="4" fontId="5" fillId="17" borderId="61" xfId="0" applyNumberFormat="1" applyFont="1" applyFill="1" applyBorder="1" applyAlignment="1">
      <alignment horizontal="right"/>
    </xf>
    <xf numFmtId="4" fontId="5" fillId="17" borderId="71" xfId="0" applyNumberFormat="1" applyFont="1" applyFill="1" applyBorder="1" applyAlignment="1">
      <alignment horizontal="right"/>
    </xf>
    <xf numFmtId="4" fontId="5" fillId="17" borderId="59" xfId="0" applyNumberFormat="1" applyFont="1" applyFill="1" applyBorder="1" applyAlignment="1">
      <alignment horizontal="right"/>
    </xf>
    <xf numFmtId="4" fontId="5" fillId="18" borderId="15" xfId="0" applyNumberFormat="1" applyFont="1" applyFill="1" applyBorder="1" applyAlignment="1">
      <alignment horizontal="right"/>
    </xf>
    <xf numFmtId="4" fontId="5" fillId="18" borderId="29" xfId="0" applyNumberFormat="1" applyFont="1" applyFill="1" applyBorder="1" applyAlignment="1">
      <alignment horizontal="right"/>
    </xf>
    <xf numFmtId="4" fontId="5" fillId="18" borderId="16" xfId="0" applyNumberFormat="1" applyFont="1" applyFill="1" applyBorder="1" applyAlignment="1">
      <alignment horizontal="right"/>
    </xf>
    <xf numFmtId="4" fontId="2" fillId="0" borderId="6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80" xfId="0" applyNumberFormat="1" applyFont="1" applyBorder="1" applyAlignment="1">
      <alignment horizontal="right"/>
    </xf>
    <xf numFmtId="0" fontId="0" fillId="24" borderId="64" xfId="0" applyFill="1" applyBorder="1" applyAlignment="1">
      <alignment horizontal="left" wrapText="1"/>
    </xf>
    <xf numFmtId="0" fontId="2" fillId="0" borderId="62" xfId="0" applyFont="1" applyFill="1" applyBorder="1" applyAlignment="1">
      <alignment horizontal="right" vertical="top"/>
    </xf>
    <xf numFmtId="4" fontId="5" fillId="18" borderId="81" xfId="0" applyNumberFormat="1" applyFont="1" applyFill="1" applyBorder="1" applyAlignment="1">
      <alignment horizontal="right"/>
    </xf>
    <xf numFmtId="4" fontId="0" fillId="0" borderId="80" xfId="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right" vertical="top"/>
    </xf>
    <xf numFmtId="0" fontId="0" fillId="0" borderId="65" xfId="0" applyFill="1" applyBorder="1" applyAlignment="1">
      <alignment horizontal="left" wrapText="1"/>
    </xf>
    <xf numFmtId="4" fontId="2" fillId="18" borderId="61" xfId="0" applyNumberFormat="1" applyFont="1" applyFill="1" applyBorder="1" applyAlignment="1">
      <alignment horizontal="right"/>
    </xf>
    <xf numFmtId="4" fontId="2" fillId="18" borderId="82" xfId="0" applyNumberFormat="1" applyFont="1" applyFill="1" applyBorder="1" applyAlignment="1">
      <alignment horizontal="right"/>
    </xf>
    <xf numFmtId="4" fontId="5" fillId="18" borderId="83" xfId="0" applyNumberFormat="1" applyFont="1" applyFill="1" applyBorder="1" applyAlignment="1">
      <alignment horizontal="right"/>
    </xf>
    <xf numFmtId="4" fontId="5" fillId="18" borderId="36" xfId="0" applyNumberFormat="1" applyFont="1" applyFill="1" applyBorder="1" applyAlignment="1">
      <alignment horizontal="right"/>
    </xf>
    <xf numFmtId="4" fontId="5" fillId="18" borderId="55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4" fontId="5" fillId="17" borderId="38" xfId="0" applyNumberFormat="1" applyFont="1" applyFill="1" applyBorder="1" applyAlignment="1">
      <alignment horizontal="right"/>
    </xf>
    <xf numFmtId="4" fontId="5" fillId="17" borderId="40" xfId="0" applyNumberFormat="1" applyFont="1" applyFill="1" applyBorder="1" applyAlignment="1">
      <alignment horizontal="right"/>
    </xf>
    <xf numFmtId="4" fontId="5" fillId="17" borderId="39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3" fontId="12" fillId="0" borderId="15" xfId="51" applyNumberFormat="1" applyFont="1" applyFill="1" applyBorder="1">
      <alignment/>
      <protection/>
    </xf>
    <xf numFmtId="173" fontId="13" fillId="0" borderId="16" xfId="51" applyNumberFormat="1" applyFont="1" applyFill="1" applyBorder="1">
      <alignment/>
      <protection/>
    </xf>
    <xf numFmtId="3" fontId="0" fillId="0" borderId="15" xfId="0" applyNumberFormat="1" applyFont="1" applyFill="1" applyBorder="1" applyAlignment="1">
      <alignment/>
    </xf>
    <xf numFmtId="3" fontId="2" fillId="0" borderId="30" xfId="51" applyNumberFormat="1" applyFont="1" applyFill="1" applyBorder="1">
      <alignment/>
      <protection/>
    </xf>
    <xf numFmtId="3" fontId="2" fillId="0" borderId="15" xfId="51" applyNumberFormat="1" applyFont="1" applyFill="1" applyBorder="1">
      <alignment/>
      <protection/>
    </xf>
    <xf numFmtId="3" fontId="2" fillId="0" borderId="30" xfId="51" applyNumberFormat="1" applyFont="1" applyBorder="1">
      <alignment/>
      <protection/>
    </xf>
    <xf numFmtId="3" fontId="2" fillId="0" borderId="15" xfId="51" applyNumberFormat="1" applyFont="1" applyBorder="1">
      <alignment/>
      <protection/>
    </xf>
    <xf numFmtId="3" fontId="2" fillId="0" borderId="31" xfId="51" applyNumberFormat="1" applyFont="1" applyBorder="1">
      <alignment/>
      <protection/>
    </xf>
    <xf numFmtId="3" fontId="2" fillId="0" borderId="18" xfId="51" applyNumberFormat="1" applyFont="1" applyBorder="1">
      <alignment/>
      <protection/>
    </xf>
    <xf numFmtId="3" fontId="2" fillId="4" borderId="15" xfId="51" applyNumberFormat="1" applyFont="1" applyFill="1" applyBorder="1">
      <alignment/>
      <protection/>
    </xf>
    <xf numFmtId="3" fontId="2" fillId="4" borderId="18" xfId="51" applyNumberFormat="1" applyFont="1" applyFill="1" applyBorder="1">
      <alignment/>
      <protection/>
    </xf>
    <xf numFmtId="3" fontId="2" fillId="26" borderId="30" xfId="51" applyNumberFormat="1" applyFont="1" applyFill="1" applyBorder="1">
      <alignment/>
      <protection/>
    </xf>
    <xf numFmtId="3" fontId="2" fillId="26" borderId="31" xfId="51" applyNumberFormat="1" applyFont="1" applyFill="1" applyBorder="1">
      <alignment/>
      <protection/>
    </xf>
    <xf numFmtId="3" fontId="4" fillId="4" borderId="44" xfId="51" applyNumberFormat="1" applyFont="1" applyFill="1" applyBorder="1">
      <alignment/>
      <protection/>
    </xf>
    <xf numFmtId="0" fontId="5" fillId="26" borderId="47" xfId="5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47">
      <alignment/>
      <protection/>
    </xf>
    <xf numFmtId="0" fontId="0" fillId="0" borderId="84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/>
    </xf>
    <xf numFmtId="4" fontId="0" fillId="0" borderId="61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4" fontId="0" fillId="0" borderId="18" xfId="0" applyNumberFormat="1" applyFill="1" applyBorder="1" applyAlignment="1">
      <alignment/>
    </xf>
    <xf numFmtId="0" fontId="50" fillId="0" borderId="76" xfId="0" applyFont="1" applyBorder="1" applyAlignment="1">
      <alignment/>
    </xf>
    <xf numFmtId="0" fontId="50" fillId="0" borderId="44" xfId="0" applyFont="1" applyFill="1" applyBorder="1" applyAlignment="1">
      <alignment/>
    </xf>
    <xf numFmtId="0" fontId="0" fillId="27" borderId="42" xfId="0" applyFill="1" applyBorder="1" applyAlignment="1">
      <alignment horizontal="left"/>
    </xf>
    <xf numFmtId="0" fontId="0" fillId="27" borderId="36" xfId="0" applyFill="1" applyBorder="1" applyAlignment="1">
      <alignment/>
    </xf>
    <xf numFmtId="0" fontId="0" fillId="27" borderId="17" xfId="0" applyFill="1" applyBorder="1" applyAlignment="1">
      <alignment horizontal="left"/>
    </xf>
    <xf numFmtId="0" fontId="0" fillId="27" borderId="18" xfId="0" applyFill="1" applyBorder="1" applyAlignment="1">
      <alignment/>
    </xf>
    <xf numFmtId="0" fontId="0" fillId="27" borderId="76" xfId="0" applyFill="1" applyBorder="1" applyAlignment="1">
      <alignment horizontal="left"/>
    </xf>
    <xf numFmtId="0" fontId="0" fillId="27" borderId="44" xfId="0" applyFill="1" applyBorder="1" applyAlignment="1">
      <alignment/>
    </xf>
    <xf numFmtId="4" fontId="0" fillId="0" borderId="44" xfId="0" applyNumberFormat="1" applyFill="1" applyBorder="1" applyAlignment="1">
      <alignment/>
    </xf>
    <xf numFmtId="0" fontId="50" fillId="28" borderId="76" xfId="0" applyFont="1" applyFill="1" applyBorder="1" applyAlignment="1">
      <alignment horizontal="left"/>
    </xf>
    <xf numFmtId="0" fontId="50" fillId="28" borderId="44" xfId="0" applyFont="1" applyFill="1" applyBorder="1" applyAlignment="1">
      <alignment/>
    </xf>
    <xf numFmtId="4" fontId="50" fillId="28" borderId="44" xfId="0" applyNumberFormat="1" applyFont="1" applyFill="1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50" fillId="0" borderId="44" xfId="0" applyFont="1" applyBorder="1" applyAlignment="1">
      <alignment/>
    </xf>
    <xf numFmtId="0" fontId="50" fillId="27" borderId="76" xfId="0" applyFont="1" applyFill="1" applyBorder="1" applyAlignment="1">
      <alignment horizontal="left"/>
    </xf>
    <xf numFmtId="0" fontId="50" fillId="27" borderId="44" xfId="0" applyFont="1" applyFill="1" applyBorder="1" applyAlignment="1">
      <alignment/>
    </xf>
    <xf numFmtId="4" fontId="50" fillId="0" borderId="44" xfId="0" applyNumberFormat="1" applyFont="1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36" xfId="0" applyNumberFormat="1" applyFill="1" applyBorder="1" applyAlignment="1">
      <alignment/>
    </xf>
    <xf numFmtId="0" fontId="50" fillId="0" borderId="76" xfId="0" applyFont="1" applyBorder="1" applyAlignment="1">
      <alignment horizontal="left"/>
    </xf>
    <xf numFmtId="4" fontId="0" fillId="0" borderId="65" xfId="0" applyNumberFormat="1" applyBorder="1" applyAlignment="1">
      <alignment/>
    </xf>
    <xf numFmtId="0" fontId="0" fillId="27" borderId="14" xfId="0" applyFill="1" applyBorder="1" applyAlignment="1">
      <alignment horizontal="left"/>
    </xf>
    <xf numFmtId="0" fontId="0" fillId="27" borderId="15" xfId="0" applyFill="1" applyBorder="1" applyAlignment="1">
      <alignment/>
    </xf>
    <xf numFmtId="4" fontId="50" fillId="0" borderId="44" xfId="0" applyNumberFormat="1" applyFont="1" applyBorder="1" applyAlignment="1">
      <alignment/>
    </xf>
    <xf numFmtId="0" fontId="0" fillId="0" borderId="42" xfId="0" applyFill="1" applyBorder="1" applyAlignment="1">
      <alignment horizontal="left"/>
    </xf>
    <xf numFmtId="0" fontId="0" fillId="0" borderId="36" xfId="0" applyFill="1" applyBorder="1" applyAlignment="1">
      <alignment/>
    </xf>
    <xf numFmtId="0" fontId="50" fillId="0" borderId="76" xfId="0" applyFont="1" applyFill="1" applyBorder="1" applyAlignment="1">
      <alignment/>
    </xf>
    <xf numFmtId="0" fontId="51" fillId="0" borderId="14" xfId="47" applyFont="1" applyBorder="1" applyAlignment="1">
      <alignment horizontal="left"/>
      <protection/>
    </xf>
    <xf numFmtId="3" fontId="51" fillId="0" borderId="15" xfId="47" applyNumberFormat="1" applyFont="1" applyBorder="1">
      <alignment/>
      <protection/>
    </xf>
    <xf numFmtId="0" fontId="51" fillId="0" borderId="17" xfId="47" applyFont="1" applyBorder="1" applyAlignment="1">
      <alignment horizontal="left"/>
      <protection/>
    </xf>
    <xf numFmtId="3" fontId="51" fillId="0" borderId="18" xfId="47" applyNumberFormat="1" applyFont="1" applyBorder="1">
      <alignment/>
      <protection/>
    </xf>
    <xf numFmtId="0" fontId="51" fillId="0" borderId="76" xfId="47" applyFont="1" applyBorder="1" applyAlignment="1">
      <alignment horizontal="left"/>
      <protection/>
    </xf>
    <xf numFmtId="0" fontId="51" fillId="0" borderId="44" xfId="47" applyFont="1" applyBorder="1">
      <alignment/>
      <protection/>
    </xf>
    <xf numFmtId="3" fontId="51" fillId="0" borderId="44" xfId="47" applyNumberFormat="1" applyFont="1" applyBorder="1">
      <alignment/>
      <protection/>
    </xf>
    <xf numFmtId="0" fontId="51" fillId="0" borderId="42" xfId="47" applyFont="1" applyBorder="1" applyAlignment="1">
      <alignment horizontal="left"/>
      <protection/>
    </xf>
    <xf numFmtId="3" fontId="51" fillId="0" borderId="36" xfId="47" applyNumberFormat="1" applyFont="1" applyBorder="1">
      <alignment/>
      <protection/>
    </xf>
    <xf numFmtId="0" fontId="51" fillId="29" borderId="14" xfId="47" applyFont="1" applyFill="1" applyBorder="1" applyAlignment="1">
      <alignment horizontal="left"/>
      <protection/>
    </xf>
    <xf numFmtId="3" fontId="51" fillId="29" borderId="15" xfId="47" applyNumberFormat="1" applyFont="1" applyFill="1" applyBorder="1">
      <alignment/>
      <protection/>
    </xf>
    <xf numFmtId="0" fontId="51" fillId="28" borderId="14" xfId="47" applyFont="1" applyFill="1" applyBorder="1" applyAlignment="1">
      <alignment horizontal="left"/>
      <protection/>
    </xf>
    <xf numFmtId="3" fontId="51" fillId="28" borderId="15" xfId="47" applyNumberFormat="1" applyFont="1" applyFill="1" applyBorder="1">
      <alignment/>
      <protection/>
    </xf>
    <xf numFmtId="3" fontId="51" fillId="0" borderId="18" xfId="47" applyNumberFormat="1" applyFont="1" applyFill="1" applyBorder="1">
      <alignment/>
      <protection/>
    </xf>
    <xf numFmtId="4" fontId="51" fillId="0" borderId="15" xfId="47" applyNumberFormat="1" applyFont="1" applyBorder="1">
      <alignment/>
      <protection/>
    </xf>
    <xf numFmtId="4" fontId="51" fillId="0" borderId="18" xfId="47" applyNumberFormat="1" applyFont="1" applyBorder="1">
      <alignment/>
      <protection/>
    </xf>
    <xf numFmtId="4" fontId="51" fillId="0" borderId="44" xfId="47" applyNumberFormat="1" applyFont="1" applyBorder="1">
      <alignment/>
      <protection/>
    </xf>
    <xf numFmtId="4" fontId="51" fillId="29" borderId="15" xfId="47" applyNumberFormat="1" applyFont="1" applyFill="1" applyBorder="1">
      <alignment/>
      <protection/>
    </xf>
    <xf numFmtId="0" fontId="51" fillId="0" borderId="17" xfId="47" applyFont="1" applyFill="1" applyBorder="1" applyAlignment="1">
      <alignment horizontal="left"/>
      <protection/>
    </xf>
    <xf numFmtId="3" fontId="51" fillId="0" borderId="65" xfId="47" applyNumberFormat="1" applyFont="1" applyBorder="1">
      <alignment/>
      <protection/>
    </xf>
    <xf numFmtId="0" fontId="51" fillId="30" borderId="14" xfId="47" applyFont="1" applyFill="1" applyBorder="1" applyAlignment="1">
      <alignment horizontal="left"/>
      <protection/>
    </xf>
    <xf numFmtId="3" fontId="51" fillId="30" borderId="15" xfId="47" applyNumberFormat="1" applyFont="1" applyFill="1" applyBorder="1">
      <alignment/>
      <protection/>
    </xf>
    <xf numFmtId="0" fontId="51" fillId="0" borderId="76" xfId="47" applyFont="1" applyBorder="1">
      <alignment/>
      <protection/>
    </xf>
    <xf numFmtId="0" fontId="51" fillId="28" borderId="62" xfId="47" applyFont="1" applyFill="1" applyBorder="1" applyAlignment="1">
      <alignment horizontal="left"/>
      <protection/>
    </xf>
    <xf numFmtId="3" fontId="51" fillId="28" borderId="65" xfId="47" applyNumberFormat="1" applyFont="1" applyFill="1" applyBorder="1">
      <alignment/>
      <protection/>
    </xf>
    <xf numFmtId="0" fontId="51" fillId="28" borderId="42" xfId="47" applyFont="1" applyFill="1" applyBorder="1" applyAlignment="1">
      <alignment horizontal="left"/>
      <protection/>
    </xf>
    <xf numFmtId="3" fontId="51" fillId="28" borderId="36" xfId="47" applyNumberFormat="1" applyFont="1" applyFill="1" applyBorder="1">
      <alignment/>
      <protection/>
    </xf>
    <xf numFmtId="0" fontId="51" fillId="31" borderId="42" xfId="47" applyFont="1" applyFill="1" applyBorder="1" applyAlignment="1">
      <alignment horizontal="left"/>
      <protection/>
    </xf>
    <xf numFmtId="3" fontId="51" fillId="31" borderId="36" xfId="47" applyNumberFormat="1" applyFont="1" applyFill="1" applyBorder="1">
      <alignment/>
      <protection/>
    </xf>
    <xf numFmtId="0" fontId="51" fillId="30" borderId="42" xfId="47" applyFont="1" applyFill="1" applyBorder="1" applyAlignment="1">
      <alignment horizontal="left"/>
      <protection/>
    </xf>
    <xf numFmtId="3" fontId="51" fillId="30" borderId="36" xfId="47" applyNumberFormat="1" applyFont="1" applyFill="1" applyBorder="1">
      <alignment/>
      <protection/>
    </xf>
    <xf numFmtId="0" fontId="51" fillId="0" borderId="62" xfId="47" applyFont="1" applyBorder="1" applyAlignment="1">
      <alignment horizontal="left"/>
      <protection/>
    </xf>
    <xf numFmtId="0" fontId="51" fillId="0" borderId="15" xfId="47" applyFont="1" applyBorder="1" applyAlignment="1">
      <alignment wrapText="1"/>
      <protection/>
    </xf>
    <xf numFmtId="0" fontId="51" fillId="0" borderId="18" xfId="47" applyFont="1" applyBorder="1" applyAlignment="1">
      <alignment wrapText="1"/>
      <protection/>
    </xf>
    <xf numFmtId="0" fontId="51" fillId="0" borderId="44" xfId="47" applyFont="1" applyBorder="1" applyAlignment="1">
      <alignment wrapText="1"/>
      <protection/>
    </xf>
    <xf numFmtId="0" fontId="51" fillId="29" borderId="15" xfId="47" applyFont="1" applyFill="1" applyBorder="1" applyAlignment="1">
      <alignment wrapText="1"/>
      <protection/>
    </xf>
    <xf numFmtId="0" fontId="51" fillId="0" borderId="36" xfId="47" applyFont="1" applyBorder="1" applyAlignment="1">
      <alignment wrapText="1"/>
      <protection/>
    </xf>
    <xf numFmtId="0" fontId="51" fillId="28" borderId="15" xfId="47" applyFont="1" applyFill="1" applyBorder="1" applyAlignment="1">
      <alignment wrapText="1"/>
      <protection/>
    </xf>
    <xf numFmtId="0" fontId="51" fillId="0" borderId="18" xfId="47" applyFont="1" applyFill="1" applyBorder="1" applyAlignment="1">
      <alignment wrapText="1"/>
      <protection/>
    </xf>
    <xf numFmtId="0" fontId="51" fillId="30" borderId="15" xfId="47" applyFont="1" applyFill="1" applyBorder="1" applyAlignment="1">
      <alignment wrapText="1"/>
      <protection/>
    </xf>
    <xf numFmtId="0" fontId="51" fillId="0" borderId="44" xfId="47" applyFont="1" applyFill="1" applyBorder="1" applyAlignment="1">
      <alignment wrapText="1"/>
      <protection/>
    </xf>
    <xf numFmtId="0" fontId="51" fillId="28" borderId="65" xfId="47" applyFont="1" applyFill="1" applyBorder="1" applyAlignment="1">
      <alignment wrapText="1"/>
      <protection/>
    </xf>
    <xf numFmtId="0" fontId="51" fillId="28" borderId="36" xfId="47" applyFont="1" applyFill="1" applyBorder="1" applyAlignment="1">
      <alignment wrapText="1"/>
      <protection/>
    </xf>
    <xf numFmtId="0" fontId="51" fillId="31" borderId="36" xfId="47" applyFont="1" applyFill="1" applyBorder="1" applyAlignment="1">
      <alignment wrapText="1"/>
      <protection/>
    </xf>
    <xf numFmtId="0" fontId="51" fillId="30" borderId="36" xfId="47" applyFont="1" applyFill="1" applyBorder="1" applyAlignment="1">
      <alignment wrapText="1"/>
      <protection/>
    </xf>
    <xf numFmtId="0" fontId="51" fillId="0" borderId="65" xfId="47" applyFont="1" applyBorder="1" applyAlignment="1">
      <alignment wrapText="1"/>
      <protection/>
    </xf>
    <xf numFmtId="0" fontId="0" fillId="10" borderId="49" xfId="0" applyFill="1" applyBorder="1" applyAlignment="1">
      <alignment horizontal="center" textRotation="90" wrapText="1"/>
    </xf>
    <xf numFmtId="0" fontId="50" fillId="28" borderId="76" xfId="0" applyFont="1" applyFill="1" applyBorder="1" applyAlignment="1">
      <alignment/>
    </xf>
    <xf numFmtId="4" fontId="44" fillId="0" borderId="54" xfId="0" applyNumberFormat="1" applyFont="1" applyFill="1" applyBorder="1" applyAlignment="1">
      <alignment/>
    </xf>
    <xf numFmtId="4" fontId="44" fillId="0" borderId="46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51" fillId="29" borderId="44" xfId="47" applyNumberFormat="1" applyFont="1" applyFill="1" applyBorder="1">
      <alignment/>
      <protection/>
    </xf>
    <xf numFmtId="4" fontId="51" fillId="29" borderId="36" xfId="47" applyNumberFormat="1" applyFont="1" applyFill="1" applyBorder="1">
      <alignment/>
      <protection/>
    </xf>
    <xf numFmtId="0" fontId="52" fillId="0" borderId="76" xfId="47" applyFont="1" applyBorder="1" applyAlignment="1">
      <alignment horizontal="left"/>
      <protection/>
    </xf>
    <xf numFmtId="0" fontId="46" fillId="0" borderId="45" xfId="0" applyFont="1" applyFill="1" applyBorder="1" applyAlignment="1">
      <alignment vertical="center"/>
    </xf>
    <xf numFmtId="3" fontId="52" fillId="0" borderId="44" xfId="47" applyNumberFormat="1" applyFont="1" applyBorder="1">
      <alignment/>
      <protection/>
    </xf>
    <xf numFmtId="4" fontId="46" fillId="0" borderId="54" xfId="0" applyNumberFormat="1" applyFont="1" applyFill="1" applyBorder="1" applyAlignment="1">
      <alignment/>
    </xf>
    <xf numFmtId="0" fontId="17" fillId="32" borderId="15" xfId="0" applyFont="1" applyFill="1" applyBorder="1" applyAlignment="1">
      <alignment/>
    </xf>
    <xf numFmtId="176" fontId="0" fillId="0" borderId="15" xfId="0" applyNumberForma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25" borderId="15" xfId="0" applyNumberFormat="1" applyFont="1" applyFill="1" applyBorder="1" applyAlignment="1">
      <alignment/>
    </xf>
    <xf numFmtId="176" fontId="17" fillId="0" borderId="0" xfId="0" applyNumberFormat="1" applyFont="1" applyAlignment="1">
      <alignment/>
    </xf>
    <xf numFmtId="176" fontId="0" fillId="0" borderId="61" xfId="0" applyNumberFormat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8" xfId="0" applyNumberFormat="1" applyFill="1" applyBorder="1" applyAlignment="1">
      <alignment/>
    </xf>
    <xf numFmtId="176" fontId="50" fillId="0" borderId="44" xfId="0" applyNumberFormat="1" applyFont="1" applyBorder="1" applyAlignment="1">
      <alignment/>
    </xf>
    <xf numFmtId="176" fontId="50" fillId="0" borderId="44" xfId="0" applyNumberFormat="1" applyFont="1" applyFill="1" applyBorder="1" applyAlignment="1">
      <alignment/>
    </xf>
    <xf numFmtId="176" fontId="47" fillId="27" borderId="36" xfId="0" applyNumberFormat="1" applyFont="1" applyFill="1" applyBorder="1" applyAlignment="1">
      <alignment/>
    </xf>
    <xf numFmtId="176" fontId="0" fillId="27" borderId="36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47" fillId="27" borderId="18" xfId="0" applyNumberFormat="1" applyFont="1" applyFill="1" applyBorder="1" applyAlignment="1">
      <alignment/>
    </xf>
    <xf numFmtId="176" fontId="0" fillId="27" borderId="18" xfId="0" applyNumberFormat="1" applyFill="1" applyBorder="1" applyAlignment="1">
      <alignment/>
    </xf>
    <xf numFmtId="176" fontId="0" fillId="27" borderId="44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50" fillId="28" borderId="44" xfId="0" applyNumberFormat="1" applyFont="1" applyFill="1" applyBorder="1" applyAlignment="1">
      <alignment/>
    </xf>
    <xf numFmtId="176" fontId="0" fillId="0" borderId="36" xfId="0" applyNumberFormat="1" applyBorder="1" applyAlignment="1">
      <alignment/>
    </xf>
    <xf numFmtId="176" fontId="50" fillId="27" borderId="44" xfId="0" applyNumberFormat="1" applyFont="1" applyFill="1" applyBorder="1" applyAlignment="1">
      <alignment/>
    </xf>
    <xf numFmtId="176" fontId="47" fillId="27" borderId="44" xfId="0" applyNumberFormat="1" applyFont="1" applyFill="1" applyBorder="1" applyAlignment="1">
      <alignment/>
    </xf>
    <xf numFmtId="176" fontId="0" fillId="27" borderId="15" xfId="0" applyNumberFormat="1" applyFill="1" applyBorder="1" applyAlignment="1">
      <alignment/>
    </xf>
    <xf numFmtId="176" fontId="53" fillId="27" borderId="65" xfId="0" applyNumberFormat="1" applyFont="1" applyFill="1" applyBorder="1" applyAlignment="1">
      <alignment/>
    </xf>
    <xf numFmtId="176" fontId="51" fillId="29" borderId="15" xfId="47" applyNumberFormat="1" applyFont="1" applyFill="1" applyBorder="1">
      <alignment/>
      <protection/>
    </xf>
    <xf numFmtId="176" fontId="51" fillId="0" borderId="15" xfId="47" applyNumberFormat="1" applyFont="1" applyBorder="1">
      <alignment/>
      <protection/>
    </xf>
    <xf numFmtId="176" fontId="51" fillId="0" borderId="18" xfId="47" applyNumberFormat="1" applyFont="1" applyBorder="1">
      <alignment/>
      <protection/>
    </xf>
    <xf numFmtId="176" fontId="51" fillId="0" borderId="44" xfId="47" applyNumberFormat="1" applyFont="1" applyBorder="1">
      <alignment/>
      <protection/>
    </xf>
    <xf numFmtId="176" fontId="51" fillId="0" borderId="36" xfId="47" applyNumberFormat="1" applyFont="1" applyBorder="1">
      <alignment/>
      <protection/>
    </xf>
    <xf numFmtId="176" fontId="51" fillId="28" borderId="15" xfId="47" applyNumberFormat="1" applyFont="1" applyFill="1" applyBorder="1">
      <alignment/>
      <protection/>
    </xf>
    <xf numFmtId="176" fontId="51" fillId="0" borderId="18" xfId="47" applyNumberFormat="1" applyFont="1" applyFill="1" applyBorder="1">
      <alignment/>
      <protection/>
    </xf>
    <xf numFmtId="176" fontId="46" fillId="28" borderId="15" xfId="47" applyNumberFormat="1" applyFont="1" applyFill="1" applyBorder="1">
      <alignment/>
      <protection/>
    </xf>
    <xf numFmtId="176" fontId="51" fillId="30" borderId="15" xfId="47" applyNumberFormat="1" applyFont="1" applyFill="1" applyBorder="1">
      <alignment/>
      <protection/>
    </xf>
    <xf numFmtId="176" fontId="51" fillId="28" borderId="65" xfId="47" applyNumberFormat="1" applyFont="1" applyFill="1" applyBorder="1">
      <alignment/>
      <protection/>
    </xf>
    <xf numFmtId="176" fontId="51" fillId="28" borderId="36" xfId="47" applyNumberFormat="1" applyFont="1" applyFill="1" applyBorder="1">
      <alignment/>
      <protection/>
    </xf>
    <xf numFmtId="176" fontId="51" fillId="31" borderId="36" xfId="47" applyNumberFormat="1" applyFont="1" applyFill="1" applyBorder="1">
      <alignment/>
      <protection/>
    </xf>
    <xf numFmtId="176" fontId="51" fillId="30" borderId="36" xfId="47" applyNumberFormat="1" applyFont="1" applyFill="1" applyBorder="1">
      <alignment/>
      <protection/>
    </xf>
    <xf numFmtId="176" fontId="51" fillId="0" borderId="65" xfId="47" applyNumberFormat="1" applyFont="1" applyBorder="1">
      <alignment/>
      <protection/>
    </xf>
    <xf numFmtId="176" fontId="52" fillId="0" borderId="44" xfId="47" applyNumberFormat="1" applyFont="1" applyBorder="1">
      <alignment/>
      <protection/>
    </xf>
    <xf numFmtId="176" fontId="44" fillId="29" borderId="28" xfId="0" applyNumberFormat="1" applyFont="1" applyFill="1" applyBorder="1" applyAlignment="1">
      <alignment/>
    </xf>
    <xf numFmtId="176" fontId="44" fillId="29" borderId="54" xfId="0" applyNumberFormat="1" applyFont="1" applyFill="1" applyBorder="1" applyAlignment="1">
      <alignment/>
    </xf>
    <xf numFmtId="176" fontId="44" fillId="0" borderId="28" xfId="0" applyNumberFormat="1" applyFont="1" applyBorder="1" applyAlignment="1">
      <alignment/>
    </xf>
    <xf numFmtId="176" fontId="44" fillId="0" borderId="54" xfId="0" applyNumberFormat="1" applyFont="1" applyBorder="1" applyAlignment="1">
      <alignment/>
    </xf>
    <xf numFmtId="176" fontId="44" fillId="0" borderId="54" xfId="0" applyNumberFormat="1" applyFont="1" applyFill="1" applyBorder="1" applyAlignment="1">
      <alignment/>
    </xf>
    <xf numFmtId="176" fontId="44" fillId="0" borderId="32" xfId="0" applyNumberFormat="1" applyFont="1" applyBorder="1" applyAlignment="1">
      <alignment/>
    </xf>
    <xf numFmtId="176" fontId="44" fillId="0" borderId="46" xfId="0" applyNumberFormat="1" applyFont="1" applyBorder="1" applyAlignment="1">
      <alignment/>
    </xf>
    <xf numFmtId="176" fontId="44" fillId="0" borderId="46" xfId="0" applyNumberFormat="1" applyFont="1" applyFill="1" applyBorder="1" applyAlignment="1">
      <alignment/>
    </xf>
    <xf numFmtId="176" fontId="44" fillId="0" borderId="10" xfId="0" applyNumberFormat="1" applyFont="1" applyBorder="1" applyAlignment="1">
      <alignment/>
    </xf>
    <xf numFmtId="176" fontId="44" fillId="0" borderId="10" xfId="0" applyNumberFormat="1" applyFont="1" applyFill="1" applyBorder="1" applyAlignment="1">
      <alignment/>
    </xf>
    <xf numFmtId="176" fontId="44" fillId="29" borderId="10" xfId="0" applyNumberFormat="1" applyFont="1" applyFill="1" applyBorder="1" applyAlignment="1">
      <alignment/>
    </xf>
    <xf numFmtId="176" fontId="46" fillId="0" borderId="54" xfId="0" applyNumberFormat="1" applyFont="1" applyBorder="1" applyAlignment="1">
      <alignment/>
    </xf>
    <xf numFmtId="176" fontId="46" fillId="0" borderId="5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25" borderId="15" xfId="0" applyNumberFormat="1" applyFill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176" fontId="17" fillId="0" borderId="15" xfId="0" applyNumberFormat="1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 wrapText="1"/>
    </xf>
    <xf numFmtId="176" fontId="38" fillId="0" borderId="15" xfId="0" applyNumberFormat="1" applyFont="1" applyFill="1" applyBorder="1" applyAlignment="1">
      <alignment/>
    </xf>
    <xf numFmtId="176" fontId="6" fillId="25" borderId="15" xfId="0" applyNumberFormat="1" applyFont="1" applyFill="1" applyBorder="1" applyAlignment="1">
      <alignment/>
    </xf>
    <xf numFmtId="0" fontId="0" fillId="27" borderId="45" xfId="0" applyFill="1" applyBorder="1" applyAlignment="1">
      <alignment/>
    </xf>
    <xf numFmtId="176" fontId="0" fillId="27" borderId="76" xfId="0" applyNumberFormat="1" applyFill="1" applyBorder="1" applyAlignment="1">
      <alignment/>
    </xf>
    <xf numFmtId="0" fontId="50" fillId="0" borderId="76" xfId="0" applyFont="1" applyFill="1" applyBorder="1" applyAlignment="1">
      <alignment horizontal="left"/>
    </xf>
    <xf numFmtId="0" fontId="0" fillId="33" borderId="76" xfId="0" applyFill="1" applyBorder="1" applyAlignment="1">
      <alignment horizontal="left"/>
    </xf>
    <xf numFmtId="0" fontId="49" fillId="0" borderId="76" xfId="0" applyFont="1" applyFill="1" applyBorder="1" applyAlignment="1">
      <alignment horizontal="left"/>
    </xf>
    <xf numFmtId="0" fontId="49" fillId="0" borderId="44" xfId="0" applyFont="1" applyFill="1" applyBorder="1" applyAlignment="1">
      <alignment/>
    </xf>
    <xf numFmtId="176" fontId="47" fillId="0" borderId="44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176" fontId="17" fillId="0" borderId="0" xfId="0" applyNumberFormat="1" applyFont="1" applyFill="1" applyAlignment="1">
      <alignment/>
    </xf>
    <xf numFmtId="0" fontId="0" fillId="28" borderId="28" xfId="0" applyFill="1" applyBorder="1" applyAlignment="1">
      <alignment/>
    </xf>
    <xf numFmtId="3" fontId="0" fillId="28" borderId="15" xfId="0" applyNumberFormat="1" applyFont="1" applyFill="1" applyBorder="1" applyAlignment="1">
      <alignment/>
    </xf>
    <xf numFmtId="3" fontId="0" fillId="28" borderId="16" xfId="0" applyNumberFormat="1" applyFill="1" applyBorder="1" applyAlignment="1">
      <alignment/>
    </xf>
    <xf numFmtId="3" fontId="0" fillId="28" borderId="14" xfId="0" applyNumberFormat="1" applyFill="1" applyBorder="1" applyAlignment="1">
      <alignment/>
    </xf>
    <xf numFmtId="3" fontId="0" fillId="28" borderId="42" xfId="0" applyNumberFormat="1" applyFill="1" applyBorder="1" applyAlignment="1">
      <alignment/>
    </xf>
    <xf numFmtId="3" fontId="0" fillId="28" borderId="36" xfId="0" applyNumberFormat="1" applyFill="1" applyBorder="1" applyAlignment="1">
      <alignment/>
    </xf>
    <xf numFmtId="3" fontId="0" fillId="28" borderId="41" xfId="0" applyNumberFormat="1" applyFill="1" applyBorder="1" applyAlignment="1">
      <alignment/>
    </xf>
    <xf numFmtId="3" fontId="0" fillId="28" borderId="29" xfId="0" applyNumberFormat="1" applyFill="1" applyBorder="1" applyAlignment="1">
      <alignment/>
    </xf>
    <xf numFmtId="4" fontId="40" fillId="0" borderId="15" xfId="0" applyNumberFormat="1" applyFont="1" applyBorder="1" applyAlignment="1">
      <alignment/>
    </xf>
    <xf numFmtId="4" fontId="40" fillId="0" borderId="75" xfId="0" applyNumberFormat="1" applyFont="1" applyBorder="1" applyAlignment="1">
      <alignment/>
    </xf>
    <xf numFmtId="4" fontId="40" fillId="0" borderId="15" xfId="0" applyNumberFormat="1" applyFont="1" applyBorder="1" applyAlignment="1">
      <alignment horizontal="center"/>
    </xf>
    <xf numFmtId="4" fontId="40" fillId="0" borderId="57" xfId="0" applyNumberFormat="1" applyFont="1" applyBorder="1" applyAlignment="1">
      <alignment/>
    </xf>
    <xf numFmtId="4" fontId="40" fillId="0" borderId="26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4" fontId="2" fillId="0" borderId="36" xfId="48" applyNumberFormat="1" applyBorder="1">
      <alignment/>
      <protection/>
    </xf>
    <xf numFmtId="4" fontId="2" fillId="0" borderId="36" xfId="48" applyNumberFormat="1" applyFill="1" applyBorder="1">
      <alignment/>
      <protection/>
    </xf>
    <xf numFmtId="3" fontId="2" fillId="0" borderId="0" xfId="51" applyNumberFormat="1">
      <alignment/>
      <protection/>
    </xf>
    <xf numFmtId="3" fontId="12" fillId="0" borderId="30" xfId="51" applyNumberFormat="1" applyFont="1" applyFill="1" applyBorder="1">
      <alignment/>
      <protection/>
    </xf>
    <xf numFmtId="176" fontId="0" fillId="0" borderId="0" xfId="0" applyNumberFormat="1" applyFill="1" applyAlignment="1">
      <alignment/>
    </xf>
    <xf numFmtId="4" fontId="4" fillId="0" borderId="0" xfId="0" applyNumberFormat="1" applyFont="1" applyAlignment="1">
      <alignment/>
    </xf>
    <xf numFmtId="0" fontId="0" fillId="0" borderId="40" xfId="0" applyBorder="1" applyAlignment="1">
      <alignment horizontal="center" wrapText="1"/>
    </xf>
    <xf numFmtId="176" fontId="48" fillId="28" borderId="44" xfId="0" applyNumberFormat="1" applyFont="1" applyFill="1" applyBorder="1" applyAlignment="1">
      <alignment/>
    </xf>
    <xf numFmtId="4" fontId="0" fillId="28" borderId="44" xfId="0" applyNumberFormat="1" applyFill="1" applyBorder="1" applyAlignment="1">
      <alignment/>
    </xf>
    <xf numFmtId="0" fontId="41" fillId="0" borderId="0" xfId="0" applyFont="1" applyAlignment="1">
      <alignment/>
    </xf>
    <xf numFmtId="0" fontId="0" fillId="0" borderId="48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5" fillId="0" borderId="86" xfId="48" applyFont="1" applyBorder="1" applyAlignment="1">
      <alignment horizontal="center"/>
      <protection/>
    </xf>
    <xf numFmtId="0" fontId="5" fillId="0" borderId="87" xfId="48" applyFont="1" applyFill="1" applyBorder="1" applyAlignment="1">
      <alignment horizontal="center"/>
      <protection/>
    </xf>
    <xf numFmtId="4" fontId="5" fillId="0" borderId="11" xfId="48" applyNumberFormat="1" applyFont="1" applyBorder="1">
      <alignment/>
      <protection/>
    </xf>
    <xf numFmtId="0" fontId="5" fillId="0" borderId="88" xfId="48" applyFont="1" applyBorder="1" applyAlignment="1">
      <alignment horizontal="center"/>
      <protection/>
    </xf>
    <xf numFmtId="4" fontId="2" fillId="0" borderId="89" xfId="48" applyNumberFormat="1" applyBorder="1">
      <alignment/>
      <protection/>
    </xf>
    <xf numFmtId="4" fontId="2" fillId="0" borderId="81" xfId="48" applyNumberFormat="1" applyBorder="1">
      <alignment/>
      <protection/>
    </xf>
    <xf numFmtId="4" fontId="2" fillId="0" borderId="90" xfId="48" applyNumberFormat="1" applyBorder="1">
      <alignment/>
      <protection/>
    </xf>
    <xf numFmtId="0" fontId="5" fillId="0" borderId="37" xfId="48" applyFont="1" applyBorder="1" applyAlignment="1">
      <alignment horizontal="center"/>
      <protection/>
    </xf>
    <xf numFmtId="0" fontId="5" fillId="0" borderId="39" xfId="48" applyFont="1" applyBorder="1" applyAlignment="1">
      <alignment horizontal="center"/>
      <protection/>
    </xf>
    <xf numFmtId="4" fontId="5" fillId="0" borderId="0" xfId="48" applyNumberFormat="1" applyFont="1" applyFill="1" applyBorder="1">
      <alignment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39" fillId="0" borderId="0" xfId="0" applyFont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9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5" fillId="0" borderId="93" xfId="48" applyFont="1" applyBorder="1" applyAlignment="1">
      <alignment horizontal="center"/>
      <protection/>
    </xf>
    <xf numFmtId="0" fontId="6" fillId="0" borderId="83" xfId="0" applyFont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Fondy" xfId="48"/>
    <cellStyle name="normální_HV suma" xfId="49"/>
    <cellStyle name="normální_MP2002" xfId="50"/>
    <cellStyle name="normální_OBV" xfId="51"/>
    <cellStyle name="normální_Vysledovka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104"/>
  <sheetViews>
    <sheetView zoomScale="80" zoomScaleNormal="80" zoomScalePageLayoutView="0" workbookViewId="0" topLeftCell="A1">
      <pane xSplit="2" ySplit="4" topLeftCell="H7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1" sqref="B71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6" width="11.7109375" style="0" bestFit="1" customWidth="1"/>
    <col min="7" max="7" width="9.57421875" style="0" bestFit="1" customWidth="1"/>
    <col min="8" max="8" width="11.7109375" style="0" bestFit="1" customWidth="1"/>
    <col min="9" max="9" width="6.00390625" style="131" bestFit="1" customWidth="1"/>
    <col min="10" max="10" width="11.7109375" style="0" bestFit="1" customWidth="1"/>
    <col min="11" max="12" width="13.140625" style="0" bestFit="1" customWidth="1"/>
    <col min="13" max="13" width="11.7109375" style="131" bestFit="1" customWidth="1"/>
    <col min="14" max="14" width="12.8515625" style="0" customWidth="1"/>
    <col min="15" max="15" width="8.28125" style="0" customWidth="1"/>
    <col min="16" max="17" width="10.421875" style="0" bestFit="1" customWidth="1"/>
  </cols>
  <sheetData>
    <row r="1" spans="1:14" ht="15.75">
      <c r="A1" s="130" t="s">
        <v>671</v>
      </c>
      <c r="I1"/>
      <c r="N1" s="130" t="s">
        <v>184</v>
      </c>
    </row>
    <row r="2" spans="1:14" ht="16.5" thickBot="1">
      <c r="A2" s="130"/>
      <c r="N2" t="s">
        <v>1</v>
      </c>
    </row>
    <row r="3" spans="1:15" ht="57" customHeight="1" thickBot="1">
      <c r="A3" s="132"/>
      <c r="B3" s="133"/>
      <c r="C3" s="264" t="s">
        <v>131</v>
      </c>
      <c r="D3" s="261" t="s">
        <v>132</v>
      </c>
      <c r="E3" s="262" t="s">
        <v>133</v>
      </c>
      <c r="F3" s="263" t="s">
        <v>134</v>
      </c>
      <c r="G3" s="264" t="s">
        <v>135</v>
      </c>
      <c r="H3" s="261" t="s">
        <v>136</v>
      </c>
      <c r="I3" s="157" t="s">
        <v>169</v>
      </c>
      <c r="J3" s="134" t="s">
        <v>137</v>
      </c>
      <c r="K3" s="262" t="s">
        <v>138</v>
      </c>
      <c r="L3" s="134" t="s">
        <v>139</v>
      </c>
      <c r="M3" s="451" t="s">
        <v>662</v>
      </c>
      <c r="N3" s="134" t="s">
        <v>140</v>
      </c>
      <c r="O3" s="262" t="s">
        <v>141</v>
      </c>
    </row>
    <row r="4" spans="1:15" ht="39.75" customHeight="1" thickBot="1">
      <c r="A4" s="135" t="s">
        <v>142</v>
      </c>
      <c r="B4" s="136" t="s">
        <v>143</v>
      </c>
      <c r="C4" s="560" t="s">
        <v>670</v>
      </c>
      <c r="D4" s="558" t="s">
        <v>668</v>
      </c>
      <c r="E4" s="137"/>
      <c r="F4" s="138" t="s">
        <v>313</v>
      </c>
      <c r="G4" s="139" t="s">
        <v>314</v>
      </c>
      <c r="H4" s="559" t="s">
        <v>669</v>
      </c>
      <c r="I4" s="140"/>
      <c r="J4" s="137"/>
      <c r="K4" s="137"/>
      <c r="L4" s="137"/>
      <c r="M4" s="191"/>
      <c r="N4" s="137"/>
      <c r="O4" s="191" t="s">
        <v>315</v>
      </c>
    </row>
    <row r="5" spans="1:15" ht="25.5" hidden="1">
      <c r="A5" s="259" t="s">
        <v>172</v>
      </c>
      <c r="B5" s="260" t="s">
        <v>173</v>
      </c>
      <c r="C5" s="142"/>
      <c r="D5" s="143"/>
      <c r="E5" s="144">
        <f aca="true" t="shared" si="0" ref="E5:E68">SUM(C5:D5)</f>
        <v>0</v>
      </c>
      <c r="F5" s="145"/>
      <c r="G5" s="142"/>
      <c r="H5" s="194">
        <f>19431-19431</f>
        <v>0</v>
      </c>
      <c r="I5" s="192"/>
      <c r="J5" s="146">
        <f aca="true" t="shared" si="1" ref="J5:J14">SUM(H5:I5)</f>
        <v>0</v>
      </c>
      <c r="K5" s="144">
        <f aca="true" t="shared" si="2" ref="K5:K14">SUM(F5,G5,J5)</f>
        <v>0</v>
      </c>
      <c r="L5" s="147">
        <f aca="true" t="shared" si="3" ref="L5:L14">SUM(E5,K5)</f>
        <v>0</v>
      </c>
      <c r="M5" s="147"/>
      <c r="N5" s="147">
        <f aca="true" t="shared" si="4" ref="N5:N14">SUM(L5,M5)</f>
        <v>0</v>
      </c>
      <c r="O5" s="168"/>
    </row>
    <row r="6" spans="1:15" ht="25.5" hidden="1">
      <c r="A6" s="259" t="s">
        <v>174</v>
      </c>
      <c r="B6" s="260" t="s">
        <v>175</v>
      </c>
      <c r="C6" s="142"/>
      <c r="D6" s="143"/>
      <c r="E6" s="144">
        <f t="shared" si="0"/>
        <v>0</v>
      </c>
      <c r="F6" s="145"/>
      <c r="G6" s="142"/>
      <c r="H6" s="142"/>
      <c r="I6" s="193"/>
      <c r="J6" s="146">
        <f t="shared" si="1"/>
        <v>0</v>
      </c>
      <c r="K6" s="144">
        <f t="shared" si="2"/>
        <v>0</v>
      </c>
      <c r="L6" s="147">
        <f t="shared" si="3"/>
        <v>0</v>
      </c>
      <c r="M6" s="147"/>
      <c r="N6" s="147">
        <f t="shared" si="4"/>
        <v>0</v>
      </c>
      <c r="O6" s="168"/>
    </row>
    <row r="7" spans="1:15" ht="12.75">
      <c r="A7" s="414"/>
      <c r="B7" s="440" t="s">
        <v>630</v>
      </c>
      <c r="C7" s="487">
        <f>'EU '!C13</f>
        <v>9154.2</v>
      </c>
      <c r="D7" s="487">
        <f>'EU '!D13</f>
        <v>32443.8</v>
      </c>
      <c r="E7" s="487">
        <f t="shared" si="0"/>
        <v>41598</v>
      </c>
      <c r="F7" s="487">
        <f>'EU '!E13</f>
        <v>11688.3</v>
      </c>
      <c r="G7" s="487">
        <f>'EU '!F13</f>
        <v>183.39999999999998</v>
      </c>
      <c r="H7" s="487">
        <f>'EU '!G13</f>
        <v>9748</v>
      </c>
      <c r="I7" s="415"/>
      <c r="J7" s="502">
        <f t="shared" si="1"/>
        <v>9748</v>
      </c>
      <c r="K7" s="503">
        <f t="shared" si="2"/>
        <v>21619.699999999997</v>
      </c>
      <c r="L7" s="503">
        <f t="shared" si="3"/>
        <v>63217.7</v>
      </c>
      <c r="M7" s="503"/>
      <c r="N7" s="503">
        <f t="shared" si="4"/>
        <v>63217.7</v>
      </c>
      <c r="O7" s="422">
        <f>'EU '!J13</f>
        <v>12</v>
      </c>
    </row>
    <row r="8" spans="1:15" ht="12.75">
      <c r="A8" s="405" t="s">
        <v>562</v>
      </c>
      <c r="B8" s="437" t="s">
        <v>563</v>
      </c>
      <c r="C8" s="488">
        <v>1739</v>
      </c>
      <c r="D8" s="488">
        <v>360</v>
      </c>
      <c r="E8" s="488">
        <f t="shared" si="0"/>
        <v>2099</v>
      </c>
      <c r="F8" s="488">
        <v>510</v>
      </c>
      <c r="G8" s="488">
        <v>0</v>
      </c>
      <c r="H8" s="488">
        <v>0</v>
      </c>
      <c r="I8" s="406"/>
      <c r="J8" s="504">
        <f t="shared" si="1"/>
        <v>0</v>
      </c>
      <c r="K8" s="505">
        <f t="shared" si="2"/>
        <v>510</v>
      </c>
      <c r="L8" s="506">
        <f t="shared" si="3"/>
        <v>2609</v>
      </c>
      <c r="M8" s="506">
        <f>607</f>
        <v>607</v>
      </c>
      <c r="N8" s="506">
        <f t="shared" si="4"/>
        <v>3216</v>
      </c>
      <c r="O8" s="419">
        <v>8.34</v>
      </c>
    </row>
    <row r="9" spans="1:15" ht="12.75">
      <c r="A9" s="405" t="s">
        <v>564</v>
      </c>
      <c r="B9" s="437" t="s">
        <v>565</v>
      </c>
      <c r="C9" s="488"/>
      <c r="D9" s="488">
        <v>450</v>
      </c>
      <c r="E9" s="488">
        <f t="shared" si="0"/>
        <v>450</v>
      </c>
      <c r="F9" s="488">
        <v>0</v>
      </c>
      <c r="G9" s="488"/>
      <c r="H9" s="488">
        <v>0</v>
      </c>
      <c r="I9" s="406"/>
      <c r="J9" s="504">
        <f t="shared" si="1"/>
        <v>0</v>
      </c>
      <c r="K9" s="505">
        <f t="shared" si="2"/>
        <v>0</v>
      </c>
      <c r="L9" s="506">
        <f t="shared" si="3"/>
        <v>450</v>
      </c>
      <c r="M9" s="506"/>
      <c r="N9" s="506">
        <f t="shared" si="4"/>
        <v>450</v>
      </c>
      <c r="O9" s="419"/>
    </row>
    <row r="10" spans="1:15" ht="13.5" thickBot="1">
      <c r="A10" s="407" t="s">
        <v>566</v>
      </c>
      <c r="B10" s="438" t="s">
        <v>567</v>
      </c>
      <c r="C10" s="489"/>
      <c r="D10" s="489">
        <v>12</v>
      </c>
      <c r="E10" s="489">
        <f t="shared" si="0"/>
        <v>12</v>
      </c>
      <c r="F10" s="489"/>
      <c r="G10" s="489"/>
      <c r="H10" s="489">
        <v>3</v>
      </c>
      <c r="I10" s="408"/>
      <c r="J10" s="507">
        <f t="shared" si="1"/>
        <v>3</v>
      </c>
      <c r="K10" s="508">
        <f t="shared" si="2"/>
        <v>3</v>
      </c>
      <c r="L10" s="509">
        <f t="shared" si="3"/>
        <v>15</v>
      </c>
      <c r="M10" s="509"/>
      <c r="N10" s="509">
        <f t="shared" si="4"/>
        <v>15</v>
      </c>
      <c r="O10" s="420"/>
    </row>
    <row r="11" spans="1:15" ht="13.5" thickBot="1">
      <c r="A11" s="409"/>
      <c r="B11" s="439" t="s">
        <v>407</v>
      </c>
      <c r="C11" s="490">
        <f aca="true" t="shared" si="5" ref="C11:O11">SUM(C7:C10)</f>
        <v>10893.2</v>
      </c>
      <c r="D11" s="490">
        <f t="shared" si="5"/>
        <v>33265.8</v>
      </c>
      <c r="E11" s="490">
        <f t="shared" si="5"/>
        <v>44159</v>
      </c>
      <c r="F11" s="490">
        <f t="shared" si="5"/>
        <v>12198.3</v>
      </c>
      <c r="G11" s="490">
        <f t="shared" si="5"/>
        <v>183.39999999999998</v>
      </c>
      <c r="H11" s="490">
        <f t="shared" si="5"/>
        <v>9751</v>
      </c>
      <c r="I11" s="411">
        <f t="shared" si="5"/>
        <v>0</v>
      </c>
      <c r="J11" s="510">
        <f t="shared" si="5"/>
        <v>9751</v>
      </c>
      <c r="K11" s="510">
        <f t="shared" si="5"/>
        <v>22132.699999999997</v>
      </c>
      <c r="L11" s="511">
        <f t="shared" si="5"/>
        <v>66291.7</v>
      </c>
      <c r="M11" s="511">
        <f t="shared" si="5"/>
        <v>607</v>
      </c>
      <c r="N11" s="511">
        <f t="shared" si="5"/>
        <v>66898.7</v>
      </c>
      <c r="O11" s="421">
        <f t="shared" si="5"/>
        <v>20.34</v>
      </c>
    </row>
    <row r="12" spans="1:15" ht="12.75">
      <c r="A12" s="414"/>
      <c r="B12" s="440" t="s">
        <v>631</v>
      </c>
      <c r="C12" s="487">
        <f>'EU '!C24</f>
        <v>5119.1</v>
      </c>
      <c r="D12" s="487">
        <f>'EU '!D24</f>
        <v>1523.9</v>
      </c>
      <c r="E12" s="487">
        <f t="shared" si="0"/>
        <v>6643</v>
      </c>
      <c r="F12" s="487">
        <f>'EU '!E24</f>
        <v>2290.4</v>
      </c>
      <c r="G12" s="487">
        <f>'EU '!F24</f>
        <v>102.6</v>
      </c>
      <c r="H12" s="487">
        <f>'EU '!G24</f>
        <v>8487.5</v>
      </c>
      <c r="I12" s="415"/>
      <c r="J12" s="502">
        <f>SUM(H12:I12)</f>
        <v>8487.5</v>
      </c>
      <c r="K12" s="503">
        <f>SUM(F12,G12,J12)</f>
        <v>10880.5</v>
      </c>
      <c r="L12" s="503">
        <f>SUM(E12,K12)</f>
        <v>17523.5</v>
      </c>
      <c r="M12" s="503"/>
      <c r="N12" s="503">
        <f>SUM(L12,M12)</f>
        <v>17523.5</v>
      </c>
      <c r="O12" s="422">
        <f>'EU '!J24</f>
        <v>14.330000000000002</v>
      </c>
    </row>
    <row r="13" spans="1:15" ht="12.75">
      <c r="A13" s="412" t="s">
        <v>568</v>
      </c>
      <c r="B13" s="441" t="s">
        <v>569</v>
      </c>
      <c r="C13" s="491">
        <v>4157</v>
      </c>
      <c r="D13" s="491">
        <v>464</v>
      </c>
      <c r="E13" s="491">
        <f t="shared" si="0"/>
        <v>4621</v>
      </c>
      <c r="F13" s="491">
        <v>0</v>
      </c>
      <c r="G13" s="491">
        <v>0</v>
      </c>
      <c r="H13" s="491">
        <v>0</v>
      </c>
      <c r="I13" s="413"/>
      <c r="J13" s="504">
        <f t="shared" si="1"/>
        <v>0</v>
      </c>
      <c r="K13" s="505">
        <f t="shared" si="2"/>
        <v>0</v>
      </c>
      <c r="L13" s="506">
        <f t="shared" si="3"/>
        <v>4621</v>
      </c>
      <c r="M13" s="506">
        <v>5</v>
      </c>
      <c r="N13" s="506">
        <f t="shared" si="4"/>
        <v>4626</v>
      </c>
      <c r="O13" s="453">
        <v>19.5</v>
      </c>
    </row>
    <row r="14" spans="1:15" ht="12.75">
      <c r="A14" s="405" t="s">
        <v>570</v>
      </c>
      <c r="B14" s="437" t="s">
        <v>571</v>
      </c>
      <c r="C14" s="488"/>
      <c r="D14" s="488">
        <v>923</v>
      </c>
      <c r="E14" s="488">
        <f t="shared" si="0"/>
        <v>923</v>
      </c>
      <c r="F14" s="488">
        <v>0</v>
      </c>
      <c r="G14" s="488"/>
      <c r="H14" s="488">
        <v>0</v>
      </c>
      <c r="I14" s="406"/>
      <c r="J14" s="504">
        <f t="shared" si="1"/>
        <v>0</v>
      </c>
      <c r="K14" s="505">
        <f t="shared" si="2"/>
        <v>0</v>
      </c>
      <c r="L14" s="506">
        <f t="shared" si="3"/>
        <v>923</v>
      </c>
      <c r="M14" s="506"/>
      <c r="N14" s="506">
        <f t="shared" si="4"/>
        <v>923</v>
      </c>
      <c r="O14" s="453"/>
    </row>
    <row r="15" spans="1:15" ht="12.75">
      <c r="A15" s="405" t="s">
        <v>572</v>
      </c>
      <c r="B15" s="437" t="s">
        <v>625</v>
      </c>
      <c r="C15" s="488"/>
      <c r="D15" s="488"/>
      <c r="E15" s="488">
        <f t="shared" si="0"/>
        <v>0</v>
      </c>
      <c r="F15" s="488"/>
      <c r="G15" s="488"/>
      <c r="H15" s="488">
        <v>110</v>
      </c>
      <c r="I15" s="406"/>
      <c r="J15" s="504">
        <f aca="true" t="shared" si="6" ref="J15:J44">SUM(H15:I15)</f>
        <v>110</v>
      </c>
      <c r="K15" s="505">
        <f aca="true" t="shared" si="7" ref="K15:K46">SUM(F15,G15,J15)</f>
        <v>110</v>
      </c>
      <c r="L15" s="506">
        <f>SUM(E15,K15)</f>
        <v>110</v>
      </c>
      <c r="M15" s="506"/>
      <c r="N15" s="506">
        <f aca="true" t="shared" si="8" ref="N15:N46">SUM(L15,M15)</f>
        <v>110</v>
      </c>
      <c r="O15" s="453"/>
    </row>
    <row r="16" spans="1:15" ht="14.25" customHeight="1" thickBot="1">
      <c r="A16" s="407" t="s">
        <v>573</v>
      </c>
      <c r="B16" s="438" t="s">
        <v>574</v>
      </c>
      <c r="C16" s="489"/>
      <c r="D16" s="489">
        <v>0</v>
      </c>
      <c r="E16" s="489">
        <f t="shared" si="0"/>
        <v>0</v>
      </c>
      <c r="F16" s="489">
        <v>0</v>
      </c>
      <c r="G16" s="489"/>
      <c r="H16" s="489">
        <v>0</v>
      </c>
      <c r="I16" s="408"/>
      <c r="J16" s="507">
        <f t="shared" si="6"/>
        <v>0</v>
      </c>
      <c r="K16" s="508">
        <f t="shared" si="7"/>
        <v>0</v>
      </c>
      <c r="L16" s="509">
        <f>SUM(E16,K16)</f>
        <v>0</v>
      </c>
      <c r="M16" s="509"/>
      <c r="N16" s="509">
        <f t="shared" si="8"/>
        <v>0</v>
      </c>
      <c r="O16" s="454"/>
    </row>
    <row r="17" spans="1:15" ht="13.5" thickBot="1">
      <c r="A17" s="409"/>
      <c r="B17" s="439" t="s">
        <v>408</v>
      </c>
      <c r="C17" s="490">
        <f aca="true" t="shared" si="9" ref="C17:O17">SUM(C12:C16)</f>
        <v>9276.1</v>
      </c>
      <c r="D17" s="490">
        <f t="shared" si="9"/>
        <v>2910.9</v>
      </c>
      <c r="E17" s="490">
        <f t="shared" si="9"/>
        <v>12187</v>
      </c>
      <c r="F17" s="490">
        <f t="shared" si="9"/>
        <v>2290.4</v>
      </c>
      <c r="G17" s="490">
        <f t="shared" si="9"/>
        <v>102.6</v>
      </c>
      <c r="H17" s="490">
        <f t="shared" si="9"/>
        <v>8597.5</v>
      </c>
      <c r="I17" s="411">
        <f t="shared" si="9"/>
        <v>0</v>
      </c>
      <c r="J17" s="510">
        <f t="shared" si="9"/>
        <v>8597.5</v>
      </c>
      <c r="K17" s="510">
        <f t="shared" si="9"/>
        <v>10990.5</v>
      </c>
      <c r="L17" s="511">
        <f t="shared" si="9"/>
        <v>23177.5</v>
      </c>
      <c r="M17" s="511">
        <f t="shared" si="9"/>
        <v>5</v>
      </c>
      <c r="N17" s="511">
        <f t="shared" si="9"/>
        <v>23182.5</v>
      </c>
      <c r="O17" s="455">
        <f t="shared" si="9"/>
        <v>33.83</v>
      </c>
    </row>
    <row r="18" spans="1:15" ht="13.5" thickBot="1">
      <c r="A18" s="414"/>
      <c r="B18" s="440" t="s">
        <v>632</v>
      </c>
      <c r="C18" s="487">
        <f>'EU '!C27</f>
        <v>0</v>
      </c>
      <c r="D18" s="487">
        <f>'EU '!D27</f>
        <v>0</v>
      </c>
      <c r="E18" s="487">
        <f t="shared" si="0"/>
        <v>0</v>
      </c>
      <c r="F18" s="487">
        <f>'EU '!E27</f>
        <v>0</v>
      </c>
      <c r="G18" s="487">
        <f>'EU '!F27</f>
        <v>0</v>
      </c>
      <c r="H18" s="487">
        <f>'EU '!G27</f>
        <v>68</v>
      </c>
      <c r="I18" s="415"/>
      <c r="J18" s="512">
        <f t="shared" si="6"/>
        <v>68</v>
      </c>
      <c r="K18" s="512">
        <f t="shared" si="7"/>
        <v>68</v>
      </c>
      <c r="L18" s="512">
        <f>SUM(E18,K18)</f>
        <v>68</v>
      </c>
      <c r="M18" s="512"/>
      <c r="N18" s="512">
        <f t="shared" si="8"/>
        <v>68</v>
      </c>
      <c r="O18" s="456">
        <f>'EU '!J27</f>
        <v>0</v>
      </c>
    </row>
    <row r="19" spans="1:15" ht="13.5" thickBot="1">
      <c r="A19" s="409" t="s">
        <v>575</v>
      </c>
      <c r="B19" s="439" t="s">
        <v>576</v>
      </c>
      <c r="C19" s="490">
        <v>661</v>
      </c>
      <c r="D19" s="490">
        <v>74</v>
      </c>
      <c r="E19" s="490">
        <f t="shared" si="0"/>
        <v>735</v>
      </c>
      <c r="F19" s="490">
        <v>313</v>
      </c>
      <c r="G19" s="490">
        <v>9</v>
      </c>
      <c r="H19" s="490">
        <v>1313</v>
      </c>
      <c r="I19" s="411"/>
      <c r="J19" s="510">
        <f t="shared" si="6"/>
        <v>1313</v>
      </c>
      <c r="K19" s="510">
        <f t="shared" si="7"/>
        <v>1635</v>
      </c>
      <c r="L19" s="511">
        <f>SUM(E19,K19)</f>
        <v>2370</v>
      </c>
      <c r="M19" s="511">
        <v>1109</v>
      </c>
      <c r="N19" s="511">
        <f t="shared" si="8"/>
        <v>3479</v>
      </c>
      <c r="O19" s="455">
        <v>3.87</v>
      </c>
    </row>
    <row r="20" spans="1:15" ht="13.5" thickBot="1">
      <c r="A20" s="409"/>
      <c r="B20" s="439" t="s">
        <v>409</v>
      </c>
      <c r="C20" s="490">
        <f>SUM(C18:C19)</f>
        <v>661</v>
      </c>
      <c r="D20" s="490">
        <f aca="true" t="shared" si="10" ref="D20:O20">SUM(D18:D19)</f>
        <v>74</v>
      </c>
      <c r="E20" s="490">
        <f t="shared" si="10"/>
        <v>735</v>
      </c>
      <c r="F20" s="490">
        <f t="shared" si="10"/>
        <v>313</v>
      </c>
      <c r="G20" s="490">
        <f t="shared" si="10"/>
        <v>9</v>
      </c>
      <c r="H20" s="490">
        <f t="shared" si="10"/>
        <v>1381</v>
      </c>
      <c r="I20" s="411">
        <f t="shared" si="10"/>
        <v>0</v>
      </c>
      <c r="J20" s="510">
        <f t="shared" si="10"/>
        <v>1381</v>
      </c>
      <c r="K20" s="510">
        <f t="shared" si="10"/>
        <v>1703</v>
      </c>
      <c r="L20" s="511">
        <f t="shared" si="10"/>
        <v>2438</v>
      </c>
      <c r="M20" s="511">
        <f t="shared" si="10"/>
        <v>1109</v>
      </c>
      <c r="N20" s="511">
        <f t="shared" si="10"/>
        <v>3547</v>
      </c>
      <c r="O20" s="455">
        <f t="shared" si="10"/>
        <v>3.87</v>
      </c>
    </row>
    <row r="21" spans="1:15" ht="13.5" thickBot="1">
      <c r="A21" s="414"/>
      <c r="B21" s="440" t="s">
        <v>633</v>
      </c>
      <c r="C21" s="487">
        <f>'EU '!C32</f>
        <v>0</v>
      </c>
      <c r="D21" s="487">
        <f>'EU '!D32</f>
        <v>0</v>
      </c>
      <c r="E21" s="487">
        <f t="shared" si="0"/>
        <v>0</v>
      </c>
      <c r="F21" s="487">
        <f>'EU '!E32</f>
        <v>0</v>
      </c>
      <c r="G21" s="487">
        <f>'EU '!F32</f>
        <v>0</v>
      </c>
      <c r="H21" s="487">
        <f>'EU '!G32</f>
        <v>12.620000000000001</v>
      </c>
      <c r="I21" s="415"/>
      <c r="J21" s="512">
        <f t="shared" si="6"/>
        <v>12.620000000000001</v>
      </c>
      <c r="K21" s="512">
        <f t="shared" si="7"/>
        <v>12.620000000000001</v>
      </c>
      <c r="L21" s="512">
        <f aca="true" t="shared" si="11" ref="L21:L31">SUM(E21,K21)</f>
        <v>12.620000000000001</v>
      </c>
      <c r="M21" s="512"/>
      <c r="N21" s="512">
        <f t="shared" si="8"/>
        <v>12.620000000000001</v>
      </c>
      <c r="O21" s="456">
        <f>'EU '!J32</f>
        <v>0</v>
      </c>
    </row>
    <row r="22" spans="1:15" ht="13.5" thickBot="1">
      <c r="A22" s="409" t="s">
        <v>577</v>
      </c>
      <c r="B22" s="439" t="s">
        <v>578</v>
      </c>
      <c r="C22" s="490"/>
      <c r="D22" s="490"/>
      <c r="E22" s="490">
        <f t="shared" si="0"/>
        <v>0</v>
      </c>
      <c r="F22" s="490"/>
      <c r="G22" s="490"/>
      <c r="H22" s="490">
        <v>1749</v>
      </c>
      <c r="I22" s="411"/>
      <c r="J22" s="510">
        <f t="shared" si="6"/>
        <v>1749</v>
      </c>
      <c r="K22" s="510">
        <f t="shared" si="7"/>
        <v>1749</v>
      </c>
      <c r="L22" s="511">
        <f t="shared" si="11"/>
        <v>1749</v>
      </c>
      <c r="M22" s="511">
        <v>431</v>
      </c>
      <c r="N22" s="511">
        <f t="shared" si="8"/>
        <v>2180</v>
      </c>
      <c r="O22" s="455"/>
    </row>
    <row r="23" spans="1:15" ht="13.5" thickBot="1">
      <c r="A23" s="409"/>
      <c r="B23" s="439" t="s">
        <v>410</v>
      </c>
      <c r="C23" s="490">
        <f>SUM(C21:C22)</f>
        <v>0</v>
      </c>
      <c r="D23" s="490">
        <f aca="true" t="shared" si="12" ref="D23:I23">SUM(D21:D22)</f>
        <v>0</v>
      </c>
      <c r="E23" s="490">
        <f t="shared" si="12"/>
        <v>0</v>
      </c>
      <c r="F23" s="490">
        <f t="shared" si="12"/>
        <v>0</v>
      </c>
      <c r="G23" s="490">
        <f t="shared" si="12"/>
        <v>0</v>
      </c>
      <c r="H23" s="490">
        <f t="shared" si="12"/>
        <v>1761.62</v>
      </c>
      <c r="I23" s="411">
        <f t="shared" si="12"/>
        <v>0</v>
      </c>
      <c r="J23" s="510">
        <f t="shared" si="6"/>
        <v>1761.62</v>
      </c>
      <c r="K23" s="510">
        <f t="shared" si="7"/>
        <v>1761.62</v>
      </c>
      <c r="L23" s="511">
        <f t="shared" si="11"/>
        <v>1761.62</v>
      </c>
      <c r="M23" s="511">
        <f>SUM(M21:M22)</f>
        <v>431</v>
      </c>
      <c r="N23" s="511">
        <f t="shared" si="8"/>
        <v>2192.62</v>
      </c>
      <c r="O23" s="455">
        <v>0</v>
      </c>
    </row>
    <row r="24" spans="1:15" ht="13.5" thickBot="1">
      <c r="A24" s="414"/>
      <c r="B24" s="440" t="s">
        <v>634</v>
      </c>
      <c r="C24" s="487">
        <f>'EU '!C71</f>
        <v>6297.447999999999</v>
      </c>
      <c r="D24" s="487">
        <f>'EU '!D71</f>
        <v>4909.308</v>
      </c>
      <c r="E24" s="487">
        <f t="shared" si="0"/>
        <v>11206.756</v>
      </c>
      <c r="F24" s="487">
        <f>'EU '!E71</f>
        <v>2752.864000000001</v>
      </c>
      <c r="G24" s="487">
        <f>'EU '!F71</f>
        <v>65.325</v>
      </c>
      <c r="H24" s="487">
        <f>'EU '!G71</f>
        <v>19913.313000000002</v>
      </c>
      <c r="I24" s="415"/>
      <c r="J24" s="512">
        <f t="shared" si="6"/>
        <v>19913.313000000002</v>
      </c>
      <c r="K24" s="512">
        <f t="shared" si="7"/>
        <v>22731.502000000004</v>
      </c>
      <c r="L24" s="512">
        <f t="shared" si="11"/>
        <v>33938.258</v>
      </c>
      <c r="M24" s="512"/>
      <c r="N24" s="512">
        <f t="shared" si="8"/>
        <v>33938.258</v>
      </c>
      <c r="O24" s="456">
        <f>'EU '!J71</f>
        <v>16.22</v>
      </c>
    </row>
    <row r="25" spans="1:15" ht="14.25" customHeight="1">
      <c r="A25" s="412" t="s">
        <v>579</v>
      </c>
      <c r="B25" s="441" t="s">
        <v>580</v>
      </c>
      <c r="C25" s="491">
        <v>28</v>
      </c>
      <c r="D25" s="491"/>
      <c r="E25" s="491">
        <f t="shared" si="0"/>
        <v>28</v>
      </c>
      <c r="F25" s="491">
        <v>10</v>
      </c>
      <c r="G25" s="491"/>
      <c r="H25" s="491">
        <v>45</v>
      </c>
      <c r="I25" s="413"/>
      <c r="J25" s="505">
        <f t="shared" si="6"/>
        <v>45</v>
      </c>
      <c r="K25" s="505">
        <f t="shared" si="7"/>
        <v>55</v>
      </c>
      <c r="L25" s="506">
        <f t="shared" si="11"/>
        <v>83</v>
      </c>
      <c r="M25" s="506"/>
      <c r="N25" s="506">
        <f t="shared" si="8"/>
        <v>83</v>
      </c>
      <c r="O25" s="453"/>
    </row>
    <row r="26" spans="1:15" ht="12.75">
      <c r="A26" s="405" t="s">
        <v>144</v>
      </c>
      <c r="B26" s="437" t="s">
        <v>145</v>
      </c>
      <c r="C26" s="488">
        <v>25499</v>
      </c>
      <c r="D26" s="488">
        <v>7659</v>
      </c>
      <c r="E26" s="488">
        <f t="shared" si="0"/>
        <v>33158</v>
      </c>
      <c r="F26" s="488">
        <v>9436</v>
      </c>
      <c r="G26" s="488">
        <v>292</v>
      </c>
      <c r="H26" s="488">
        <v>0</v>
      </c>
      <c r="I26" s="406"/>
      <c r="J26" s="504">
        <f t="shared" si="6"/>
        <v>0</v>
      </c>
      <c r="K26" s="505">
        <f t="shared" si="7"/>
        <v>9728</v>
      </c>
      <c r="L26" s="506">
        <f t="shared" si="11"/>
        <v>42886</v>
      </c>
      <c r="M26" s="506">
        <v>14683</v>
      </c>
      <c r="N26" s="506">
        <f t="shared" si="8"/>
        <v>57569</v>
      </c>
      <c r="O26" s="453">
        <v>92.72</v>
      </c>
    </row>
    <row r="27" spans="1:15" ht="12.75">
      <c r="A27" s="416" t="s">
        <v>144</v>
      </c>
      <c r="B27" s="442" t="s">
        <v>145</v>
      </c>
      <c r="C27" s="492">
        <v>12</v>
      </c>
      <c r="D27" s="492"/>
      <c r="E27" s="492">
        <f t="shared" si="0"/>
        <v>12</v>
      </c>
      <c r="F27" s="492"/>
      <c r="G27" s="492"/>
      <c r="H27" s="492"/>
      <c r="I27" s="417"/>
      <c r="J27" s="504">
        <f t="shared" si="6"/>
        <v>0</v>
      </c>
      <c r="K27" s="505">
        <f t="shared" si="7"/>
        <v>0</v>
      </c>
      <c r="L27" s="506">
        <f t="shared" si="11"/>
        <v>12</v>
      </c>
      <c r="M27" s="506"/>
      <c r="N27" s="506">
        <f t="shared" si="8"/>
        <v>12</v>
      </c>
      <c r="O27" s="453"/>
    </row>
    <row r="28" spans="1:15" ht="12.75">
      <c r="A28" s="416" t="s">
        <v>146</v>
      </c>
      <c r="B28" s="442" t="s">
        <v>147</v>
      </c>
      <c r="C28" s="492"/>
      <c r="D28" s="492">
        <v>388</v>
      </c>
      <c r="E28" s="492">
        <f t="shared" si="0"/>
        <v>388</v>
      </c>
      <c r="F28" s="492"/>
      <c r="G28" s="492"/>
      <c r="H28" s="492"/>
      <c r="I28" s="417"/>
      <c r="J28" s="504">
        <f t="shared" si="6"/>
        <v>0</v>
      </c>
      <c r="K28" s="505">
        <f t="shared" si="7"/>
        <v>0</v>
      </c>
      <c r="L28" s="506">
        <f t="shared" si="11"/>
        <v>388</v>
      </c>
      <c r="M28" s="506"/>
      <c r="N28" s="506">
        <f t="shared" si="8"/>
        <v>388</v>
      </c>
      <c r="O28" s="453"/>
    </row>
    <row r="29" spans="1:15" ht="14.25" customHeight="1">
      <c r="A29" s="405" t="s">
        <v>581</v>
      </c>
      <c r="B29" s="437" t="s">
        <v>147</v>
      </c>
      <c r="C29" s="488">
        <v>3481</v>
      </c>
      <c r="D29" s="488">
        <v>258</v>
      </c>
      <c r="E29" s="488">
        <f t="shared" si="0"/>
        <v>3739</v>
      </c>
      <c r="F29" s="488">
        <v>1205</v>
      </c>
      <c r="G29" s="488">
        <v>35</v>
      </c>
      <c r="H29" s="488">
        <v>918</v>
      </c>
      <c r="I29" s="406"/>
      <c r="J29" s="504">
        <f t="shared" si="6"/>
        <v>918</v>
      </c>
      <c r="K29" s="505">
        <f t="shared" si="7"/>
        <v>2158</v>
      </c>
      <c r="L29" s="506">
        <f t="shared" si="11"/>
        <v>5897</v>
      </c>
      <c r="M29" s="506"/>
      <c r="N29" s="506">
        <f t="shared" si="8"/>
        <v>5897</v>
      </c>
      <c r="O29" s="453">
        <v>10.24</v>
      </c>
    </row>
    <row r="30" spans="1:15" ht="13.5" customHeight="1">
      <c r="A30" s="405" t="s">
        <v>148</v>
      </c>
      <c r="B30" s="437" t="s">
        <v>626</v>
      </c>
      <c r="C30" s="488">
        <v>93</v>
      </c>
      <c r="D30" s="488"/>
      <c r="E30" s="488">
        <f t="shared" si="0"/>
        <v>93</v>
      </c>
      <c r="F30" s="488">
        <v>32</v>
      </c>
      <c r="G30" s="488">
        <v>1</v>
      </c>
      <c r="H30" s="488">
        <v>78</v>
      </c>
      <c r="I30" s="406"/>
      <c r="J30" s="504">
        <f t="shared" si="6"/>
        <v>78</v>
      </c>
      <c r="K30" s="505">
        <f t="shared" si="7"/>
        <v>111</v>
      </c>
      <c r="L30" s="506">
        <f t="shared" si="11"/>
        <v>204</v>
      </c>
      <c r="M30" s="506"/>
      <c r="N30" s="506">
        <f t="shared" si="8"/>
        <v>204</v>
      </c>
      <c r="O30" s="453"/>
    </row>
    <row r="31" spans="1:15" ht="26.25" thickBot="1">
      <c r="A31" s="407" t="s">
        <v>167</v>
      </c>
      <c r="B31" s="438" t="s">
        <v>318</v>
      </c>
      <c r="C31" s="489">
        <v>340</v>
      </c>
      <c r="D31" s="489">
        <v>196</v>
      </c>
      <c r="E31" s="489">
        <f t="shared" si="0"/>
        <v>536</v>
      </c>
      <c r="F31" s="493">
        <v>148</v>
      </c>
      <c r="G31" s="493">
        <v>4</v>
      </c>
      <c r="H31" s="493">
        <v>343</v>
      </c>
      <c r="I31" s="418"/>
      <c r="J31" s="507">
        <f t="shared" si="6"/>
        <v>343</v>
      </c>
      <c r="K31" s="508">
        <f t="shared" si="7"/>
        <v>495</v>
      </c>
      <c r="L31" s="509">
        <f t="shared" si="11"/>
        <v>1031</v>
      </c>
      <c r="M31" s="509"/>
      <c r="N31" s="509">
        <f t="shared" si="8"/>
        <v>1031</v>
      </c>
      <c r="O31" s="454">
        <v>1</v>
      </c>
    </row>
    <row r="32" spans="1:15" ht="13.5" thickBot="1">
      <c r="A32" s="409"/>
      <c r="B32" s="439" t="s">
        <v>383</v>
      </c>
      <c r="C32" s="490">
        <f>SUM(C24:C31)</f>
        <v>35750.448000000004</v>
      </c>
      <c r="D32" s="490">
        <f aca="true" t="shared" si="13" ref="D32:O32">SUM(D24:D31)</f>
        <v>13410.308</v>
      </c>
      <c r="E32" s="490">
        <f t="shared" si="13"/>
        <v>49160.756</v>
      </c>
      <c r="F32" s="490">
        <f t="shared" si="13"/>
        <v>13583.864000000001</v>
      </c>
      <c r="G32" s="490">
        <f t="shared" si="13"/>
        <v>397.325</v>
      </c>
      <c r="H32" s="490">
        <f t="shared" si="13"/>
        <v>21297.313000000002</v>
      </c>
      <c r="I32" s="411">
        <f t="shared" si="13"/>
        <v>0</v>
      </c>
      <c r="J32" s="510">
        <f t="shared" si="13"/>
        <v>21297.313000000002</v>
      </c>
      <c r="K32" s="510">
        <f t="shared" si="13"/>
        <v>35278.50200000001</v>
      </c>
      <c r="L32" s="511">
        <f t="shared" si="13"/>
        <v>84439.258</v>
      </c>
      <c r="M32" s="511">
        <f t="shared" si="13"/>
        <v>14683</v>
      </c>
      <c r="N32" s="511">
        <f t="shared" si="13"/>
        <v>99122.258</v>
      </c>
      <c r="O32" s="455">
        <f t="shared" si="13"/>
        <v>120.17999999999999</v>
      </c>
    </row>
    <row r="33" spans="1:15" ht="12.75">
      <c r="A33" s="414"/>
      <c r="B33" s="440" t="s">
        <v>635</v>
      </c>
      <c r="C33" s="487">
        <f>'EU '!C77</f>
        <v>1819.854</v>
      </c>
      <c r="D33" s="487">
        <f>'EU '!D77</f>
        <v>1200</v>
      </c>
      <c r="E33" s="487">
        <f t="shared" si="0"/>
        <v>3019.8540000000003</v>
      </c>
      <c r="F33" s="487">
        <f>'EU '!E77</f>
        <v>618.751</v>
      </c>
      <c r="G33" s="487">
        <f>'EU '!F77</f>
        <v>36.397999999999996</v>
      </c>
      <c r="H33" s="487">
        <f>'EU '!G77</f>
        <v>11007.599999999999</v>
      </c>
      <c r="I33" s="415"/>
      <c r="J33" s="503">
        <f t="shared" si="6"/>
        <v>11007.599999999999</v>
      </c>
      <c r="K33" s="503">
        <f t="shared" si="7"/>
        <v>11662.748999999998</v>
      </c>
      <c r="L33" s="503">
        <f aca="true" t="shared" si="14" ref="L33:L44">SUM(E33,K33)</f>
        <v>14682.603</v>
      </c>
      <c r="M33" s="503"/>
      <c r="N33" s="503">
        <f t="shared" si="8"/>
        <v>14682.603</v>
      </c>
      <c r="O33" s="457">
        <f>'EU '!J77</f>
        <v>1.08</v>
      </c>
    </row>
    <row r="34" spans="1:15" ht="12.75">
      <c r="A34" s="423" t="s">
        <v>194</v>
      </c>
      <c r="B34" s="443" t="s">
        <v>195</v>
      </c>
      <c r="C34" s="493">
        <v>123</v>
      </c>
      <c r="D34" s="493">
        <v>40</v>
      </c>
      <c r="E34" s="493">
        <f t="shared" si="0"/>
        <v>163</v>
      </c>
      <c r="F34" s="493">
        <v>42</v>
      </c>
      <c r="G34" s="493">
        <v>2</v>
      </c>
      <c r="H34" s="493">
        <v>43</v>
      </c>
      <c r="I34" s="418"/>
      <c r="J34" s="504">
        <f t="shared" si="6"/>
        <v>43</v>
      </c>
      <c r="K34" s="505">
        <f t="shared" si="7"/>
        <v>87</v>
      </c>
      <c r="L34" s="506">
        <f t="shared" si="14"/>
        <v>250</v>
      </c>
      <c r="M34" s="506"/>
      <c r="N34" s="506">
        <f t="shared" si="8"/>
        <v>250</v>
      </c>
      <c r="O34" s="453">
        <v>0.5</v>
      </c>
    </row>
    <row r="35" spans="1:15" ht="25.5">
      <c r="A35" s="416" t="s">
        <v>172</v>
      </c>
      <c r="B35" s="442" t="s">
        <v>173</v>
      </c>
      <c r="C35" s="492">
        <v>81</v>
      </c>
      <c r="D35" s="494"/>
      <c r="E35" s="494">
        <f t="shared" si="0"/>
        <v>81</v>
      </c>
      <c r="F35" s="492">
        <v>29</v>
      </c>
      <c r="G35" s="494"/>
      <c r="H35" s="492">
        <v>160</v>
      </c>
      <c r="I35" s="417"/>
      <c r="J35" s="504">
        <f t="shared" si="6"/>
        <v>160</v>
      </c>
      <c r="K35" s="505">
        <f t="shared" si="7"/>
        <v>189</v>
      </c>
      <c r="L35" s="506">
        <f t="shared" si="14"/>
        <v>270</v>
      </c>
      <c r="M35" s="506"/>
      <c r="N35" s="506">
        <f t="shared" si="8"/>
        <v>270</v>
      </c>
      <c r="O35" s="453"/>
    </row>
    <row r="36" spans="1:15" ht="12.75">
      <c r="A36" s="412" t="s">
        <v>582</v>
      </c>
      <c r="B36" s="441" t="s">
        <v>675</v>
      </c>
      <c r="C36" s="491"/>
      <c r="D36" s="491"/>
      <c r="E36" s="491">
        <f t="shared" si="0"/>
        <v>0</v>
      </c>
      <c r="F36" s="491"/>
      <c r="G36" s="491"/>
      <c r="H36" s="491">
        <v>378</v>
      </c>
      <c r="I36" s="413"/>
      <c r="J36" s="504">
        <f t="shared" si="6"/>
        <v>378</v>
      </c>
      <c r="K36" s="505">
        <f t="shared" si="7"/>
        <v>378</v>
      </c>
      <c r="L36" s="506">
        <f t="shared" si="14"/>
        <v>378</v>
      </c>
      <c r="M36" s="506"/>
      <c r="N36" s="506">
        <f t="shared" si="8"/>
        <v>378</v>
      </c>
      <c r="O36" s="453"/>
    </row>
    <row r="37" spans="1:15" ht="12.75">
      <c r="A37" s="405" t="s">
        <v>176</v>
      </c>
      <c r="B37" s="437" t="s">
        <v>177</v>
      </c>
      <c r="C37" s="488">
        <v>9502</v>
      </c>
      <c r="D37" s="488">
        <v>898</v>
      </c>
      <c r="E37" s="488">
        <f t="shared" si="0"/>
        <v>10400</v>
      </c>
      <c r="F37" s="488">
        <v>3473</v>
      </c>
      <c r="G37" s="488">
        <v>96</v>
      </c>
      <c r="H37" s="488">
        <v>8962</v>
      </c>
      <c r="I37" s="406"/>
      <c r="J37" s="504">
        <f t="shared" si="6"/>
        <v>8962</v>
      </c>
      <c r="K37" s="505">
        <f t="shared" si="7"/>
        <v>12531</v>
      </c>
      <c r="L37" s="506">
        <f t="shared" si="14"/>
        <v>22931</v>
      </c>
      <c r="M37" s="506">
        <v>3500</v>
      </c>
      <c r="N37" s="506">
        <f t="shared" si="8"/>
        <v>26431</v>
      </c>
      <c r="O37" s="453">
        <v>34.84</v>
      </c>
    </row>
    <row r="38" spans="1:15" ht="12.75" hidden="1">
      <c r="A38" s="425" t="s">
        <v>583</v>
      </c>
      <c r="B38" s="444" t="s">
        <v>584</v>
      </c>
      <c r="C38" s="495"/>
      <c r="D38" s="495"/>
      <c r="E38" s="495">
        <f t="shared" si="0"/>
        <v>0</v>
      </c>
      <c r="F38" s="495"/>
      <c r="G38" s="495"/>
      <c r="H38" s="495"/>
      <c r="I38" s="426"/>
      <c r="J38" s="504">
        <f t="shared" si="6"/>
        <v>0</v>
      </c>
      <c r="K38" s="505">
        <f t="shared" si="7"/>
        <v>0</v>
      </c>
      <c r="L38" s="506">
        <f t="shared" si="14"/>
        <v>0</v>
      </c>
      <c r="M38" s="506"/>
      <c r="N38" s="506">
        <f t="shared" si="8"/>
        <v>0</v>
      </c>
      <c r="O38" s="453"/>
    </row>
    <row r="39" spans="1:15" ht="14.25" customHeight="1">
      <c r="A39" s="405" t="s">
        <v>585</v>
      </c>
      <c r="B39" s="437" t="s">
        <v>178</v>
      </c>
      <c r="C39" s="488">
        <v>120</v>
      </c>
      <c r="D39" s="488">
        <v>330</v>
      </c>
      <c r="E39" s="488">
        <f t="shared" si="0"/>
        <v>450</v>
      </c>
      <c r="F39" s="488">
        <v>61</v>
      </c>
      <c r="G39" s="488">
        <v>1</v>
      </c>
      <c r="H39" s="488">
        <v>1530</v>
      </c>
      <c r="I39" s="406"/>
      <c r="J39" s="504">
        <f t="shared" si="6"/>
        <v>1530</v>
      </c>
      <c r="K39" s="505">
        <f t="shared" si="7"/>
        <v>1592</v>
      </c>
      <c r="L39" s="506">
        <f t="shared" si="14"/>
        <v>2042</v>
      </c>
      <c r="M39" s="506"/>
      <c r="N39" s="506">
        <f t="shared" si="8"/>
        <v>2042</v>
      </c>
      <c r="O39" s="453">
        <v>0.67</v>
      </c>
    </row>
    <row r="40" spans="1:19" s="127" customFormat="1" ht="12.75">
      <c r="A40" s="405" t="s">
        <v>196</v>
      </c>
      <c r="B40" s="437" t="s">
        <v>676</v>
      </c>
      <c r="C40" s="488">
        <v>3000</v>
      </c>
      <c r="D40" s="488">
        <v>6400</v>
      </c>
      <c r="E40" s="488">
        <f t="shared" si="0"/>
        <v>9400</v>
      </c>
      <c r="F40" s="488">
        <v>3196</v>
      </c>
      <c r="G40" s="488">
        <v>30</v>
      </c>
      <c r="H40" s="488">
        <v>19328</v>
      </c>
      <c r="I40" s="406"/>
      <c r="J40" s="504">
        <f t="shared" si="6"/>
        <v>19328</v>
      </c>
      <c r="K40" s="505">
        <f t="shared" si="7"/>
        <v>22554</v>
      </c>
      <c r="L40" s="506">
        <f t="shared" si="14"/>
        <v>31954</v>
      </c>
      <c r="M40" s="506"/>
      <c r="N40" s="506">
        <f t="shared" si="8"/>
        <v>31954</v>
      </c>
      <c r="O40" s="453">
        <v>12</v>
      </c>
      <c r="P40"/>
      <c r="Q40"/>
      <c r="R40"/>
      <c r="S40"/>
    </row>
    <row r="41" spans="1:15" ht="12.75">
      <c r="A41" s="405" t="s">
        <v>179</v>
      </c>
      <c r="B41" s="437" t="s">
        <v>627</v>
      </c>
      <c r="C41" s="488"/>
      <c r="D41" s="488">
        <v>20</v>
      </c>
      <c r="E41" s="488">
        <f t="shared" si="0"/>
        <v>20</v>
      </c>
      <c r="F41" s="488"/>
      <c r="G41" s="488"/>
      <c r="H41" s="488">
        <v>2158</v>
      </c>
      <c r="I41" s="406"/>
      <c r="J41" s="504">
        <f t="shared" si="6"/>
        <v>2158</v>
      </c>
      <c r="K41" s="505">
        <f t="shared" si="7"/>
        <v>2158</v>
      </c>
      <c r="L41" s="506">
        <f t="shared" si="14"/>
        <v>2178</v>
      </c>
      <c r="M41" s="506"/>
      <c r="N41" s="506">
        <f t="shared" si="8"/>
        <v>2178</v>
      </c>
      <c r="O41" s="453"/>
    </row>
    <row r="42" spans="1:15" ht="12.75">
      <c r="A42" s="405" t="s">
        <v>586</v>
      </c>
      <c r="B42" s="437" t="s">
        <v>180</v>
      </c>
      <c r="C42" s="488">
        <v>10304</v>
      </c>
      <c r="D42" s="488">
        <v>1311</v>
      </c>
      <c r="E42" s="488">
        <f t="shared" si="0"/>
        <v>11615</v>
      </c>
      <c r="F42" s="488">
        <v>3677</v>
      </c>
      <c r="G42" s="488">
        <v>206</v>
      </c>
      <c r="H42" s="488">
        <v>18092</v>
      </c>
      <c r="I42" s="406"/>
      <c r="J42" s="504">
        <f t="shared" si="6"/>
        <v>18092</v>
      </c>
      <c r="K42" s="505">
        <f t="shared" si="7"/>
        <v>21975</v>
      </c>
      <c r="L42" s="506">
        <f t="shared" si="14"/>
        <v>33590</v>
      </c>
      <c r="M42" s="506">
        <v>36250</v>
      </c>
      <c r="N42" s="506">
        <f t="shared" si="8"/>
        <v>69840</v>
      </c>
      <c r="O42" s="453">
        <v>44.5</v>
      </c>
    </row>
    <row r="43" spans="1:15" ht="12.75">
      <c r="A43" s="405" t="s">
        <v>587</v>
      </c>
      <c r="B43" s="437" t="s">
        <v>181</v>
      </c>
      <c r="C43" s="488">
        <v>4208</v>
      </c>
      <c r="D43" s="488"/>
      <c r="E43" s="488">
        <f t="shared" si="0"/>
        <v>4208</v>
      </c>
      <c r="F43" s="488">
        <v>1389</v>
      </c>
      <c r="G43" s="488">
        <v>84</v>
      </c>
      <c r="H43" s="488"/>
      <c r="I43" s="406"/>
      <c r="J43" s="504">
        <f t="shared" si="6"/>
        <v>0</v>
      </c>
      <c r="K43" s="505">
        <f t="shared" si="7"/>
        <v>1473</v>
      </c>
      <c r="L43" s="506">
        <f t="shared" si="14"/>
        <v>5681</v>
      </c>
      <c r="M43" s="506"/>
      <c r="N43" s="506">
        <f t="shared" si="8"/>
        <v>5681</v>
      </c>
      <c r="O43" s="453">
        <v>13</v>
      </c>
    </row>
    <row r="44" spans="1:15" ht="13.5" thickBot="1">
      <c r="A44" s="407" t="s">
        <v>316</v>
      </c>
      <c r="B44" s="438" t="s">
        <v>317</v>
      </c>
      <c r="C44" s="489">
        <v>420</v>
      </c>
      <c r="D44" s="489">
        <v>12</v>
      </c>
      <c r="E44" s="489">
        <f t="shared" si="0"/>
        <v>432</v>
      </c>
      <c r="F44" s="489">
        <v>147</v>
      </c>
      <c r="G44" s="489"/>
      <c r="H44" s="489">
        <v>1921</v>
      </c>
      <c r="I44" s="408"/>
      <c r="J44" s="507">
        <f t="shared" si="6"/>
        <v>1921</v>
      </c>
      <c r="K44" s="508">
        <f t="shared" si="7"/>
        <v>2068</v>
      </c>
      <c r="L44" s="509">
        <f t="shared" si="14"/>
        <v>2500</v>
      </c>
      <c r="M44" s="509"/>
      <c r="N44" s="509">
        <f t="shared" si="8"/>
        <v>2500</v>
      </c>
      <c r="O44" s="454"/>
    </row>
    <row r="45" spans="1:15" ht="13.5" thickBot="1">
      <c r="A45" s="427"/>
      <c r="B45" s="445" t="s">
        <v>27</v>
      </c>
      <c r="C45" s="490">
        <f aca="true" t="shared" si="15" ref="C45:H45">SUM(C33:C44)</f>
        <v>29577.854</v>
      </c>
      <c r="D45" s="490">
        <f t="shared" si="15"/>
        <v>10211</v>
      </c>
      <c r="E45" s="490">
        <f t="shared" si="15"/>
        <v>39788.854</v>
      </c>
      <c r="F45" s="490">
        <f t="shared" si="15"/>
        <v>12632.751</v>
      </c>
      <c r="G45" s="490">
        <f t="shared" si="15"/>
        <v>455.398</v>
      </c>
      <c r="H45" s="490">
        <f t="shared" si="15"/>
        <v>63579.6</v>
      </c>
      <c r="I45" s="410">
        <f aca="true" t="shared" si="16" ref="I45:O45">SUM(I33:I44)</f>
        <v>0</v>
      </c>
      <c r="J45" s="510">
        <f t="shared" si="16"/>
        <v>63579.6</v>
      </c>
      <c r="K45" s="510">
        <f t="shared" si="16"/>
        <v>76667.749</v>
      </c>
      <c r="L45" s="511">
        <f t="shared" si="16"/>
        <v>116456.603</v>
      </c>
      <c r="M45" s="511">
        <f t="shared" si="16"/>
        <v>39750</v>
      </c>
      <c r="N45" s="511">
        <f t="shared" si="16"/>
        <v>156206.603</v>
      </c>
      <c r="O45" s="455">
        <f t="shared" si="16"/>
        <v>106.59</v>
      </c>
    </row>
    <row r="46" spans="1:15" ht="12.75">
      <c r="A46" s="414"/>
      <c r="B46" s="440" t="s">
        <v>636</v>
      </c>
      <c r="C46" s="487">
        <f>'EU '!C115</f>
        <v>58797.116</v>
      </c>
      <c r="D46" s="487">
        <f>'EU '!D115</f>
        <v>144251.713</v>
      </c>
      <c r="E46" s="487">
        <f t="shared" si="0"/>
        <v>203048.829</v>
      </c>
      <c r="F46" s="487">
        <f>'EU '!E115</f>
        <v>36526.621</v>
      </c>
      <c r="G46" s="487">
        <f>'EU '!F115</f>
        <v>1063.8809999999999</v>
      </c>
      <c r="H46" s="487">
        <f>'EU '!G115</f>
        <v>158255.472</v>
      </c>
      <c r="I46" s="415"/>
      <c r="J46" s="503">
        <f>SUM(H46:I46)</f>
        <v>158255.472</v>
      </c>
      <c r="K46" s="503">
        <f t="shared" si="7"/>
        <v>195845.97400000002</v>
      </c>
      <c r="L46" s="503">
        <f>SUM(E46,K46)</f>
        <v>398894.803</v>
      </c>
      <c r="M46" s="503"/>
      <c r="N46" s="503">
        <f t="shared" si="8"/>
        <v>398894.803</v>
      </c>
      <c r="O46" s="457">
        <f>'EU '!J115</f>
        <v>146.53000000000003</v>
      </c>
    </row>
    <row r="47" spans="1:15" ht="14.25" customHeight="1">
      <c r="A47" s="412" t="s">
        <v>588</v>
      </c>
      <c r="B47" s="441" t="s">
        <v>589</v>
      </c>
      <c r="C47" s="491"/>
      <c r="D47" s="491">
        <v>45</v>
      </c>
      <c r="E47" s="491">
        <f t="shared" si="0"/>
        <v>45</v>
      </c>
      <c r="F47" s="491"/>
      <c r="G47" s="491"/>
      <c r="H47" s="491">
        <v>135</v>
      </c>
      <c r="I47" s="413"/>
      <c r="J47" s="504">
        <f aca="true" t="shared" si="17" ref="J47:J55">SUM(H47:I47)</f>
        <v>135</v>
      </c>
      <c r="K47" s="505">
        <f aca="true" t="shared" si="18" ref="K47:K55">SUM(F47,G47,J47)</f>
        <v>135</v>
      </c>
      <c r="L47" s="506">
        <f aca="true" t="shared" si="19" ref="L47:L55">SUM(E47,K47)</f>
        <v>180</v>
      </c>
      <c r="M47" s="506"/>
      <c r="N47" s="506">
        <f aca="true" t="shared" si="20" ref="N47:N55">SUM(L47,M47)</f>
        <v>180</v>
      </c>
      <c r="O47" s="453"/>
    </row>
    <row r="48" spans="1:15" ht="12.75">
      <c r="A48" s="405" t="s">
        <v>590</v>
      </c>
      <c r="B48" s="437" t="s">
        <v>591</v>
      </c>
      <c r="C48" s="488">
        <v>27600</v>
      </c>
      <c r="D48" s="488">
        <v>5998</v>
      </c>
      <c r="E48" s="488">
        <f t="shared" si="0"/>
        <v>33598</v>
      </c>
      <c r="F48" s="488">
        <v>10181</v>
      </c>
      <c r="G48" s="488">
        <v>276</v>
      </c>
      <c r="H48" s="488">
        <v>14210</v>
      </c>
      <c r="I48" s="406"/>
      <c r="J48" s="504">
        <f t="shared" si="17"/>
        <v>14210</v>
      </c>
      <c r="K48" s="505">
        <f t="shared" si="18"/>
        <v>24667</v>
      </c>
      <c r="L48" s="506">
        <f t="shared" si="19"/>
        <v>58265</v>
      </c>
      <c r="M48" s="506">
        <v>2690</v>
      </c>
      <c r="N48" s="506">
        <f t="shared" si="20"/>
        <v>60955</v>
      </c>
      <c r="O48" s="453">
        <v>94.12</v>
      </c>
    </row>
    <row r="49" spans="1:15" ht="12.75" hidden="1">
      <c r="A49" s="425" t="s">
        <v>592</v>
      </c>
      <c r="B49" s="444" t="s">
        <v>593</v>
      </c>
      <c r="C49" s="495"/>
      <c r="D49" s="495"/>
      <c r="E49" s="495">
        <f t="shared" si="0"/>
        <v>0</v>
      </c>
      <c r="F49" s="495"/>
      <c r="G49" s="495"/>
      <c r="H49" s="495"/>
      <c r="I49" s="426"/>
      <c r="J49" s="504">
        <f t="shared" si="17"/>
        <v>0</v>
      </c>
      <c r="K49" s="505">
        <f t="shared" si="18"/>
        <v>0</v>
      </c>
      <c r="L49" s="506">
        <f t="shared" si="19"/>
        <v>0</v>
      </c>
      <c r="M49" s="506"/>
      <c r="N49" s="506">
        <f t="shared" si="20"/>
        <v>0</v>
      </c>
      <c r="O49" s="453"/>
    </row>
    <row r="50" spans="1:15" ht="15" customHeight="1">
      <c r="A50" s="405" t="s">
        <v>594</v>
      </c>
      <c r="B50" s="437" t="s">
        <v>595</v>
      </c>
      <c r="C50" s="488">
        <v>1781</v>
      </c>
      <c r="D50" s="488">
        <v>2918</v>
      </c>
      <c r="E50" s="488">
        <f t="shared" si="0"/>
        <v>4699</v>
      </c>
      <c r="F50" s="488">
        <v>921</v>
      </c>
      <c r="G50" s="488">
        <v>17</v>
      </c>
      <c r="H50" s="488">
        <v>3064</v>
      </c>
      <c r="I50" s="406"/>
      <c r="J50" s="504">
        <f t="shared" si="17"/>
        <v>3064</v>
      </c>
      <c r="K50" s="505">
        <f t="shared" si="18"/>
        <v>4002</v>
      </c>
      <c r="L50" s="506">
        <f t="shared" si="19"/>
        <v>8701</v>
      </c>
      <c r="M50" s="506">
        <v>449</v>
      </c>
      <c r="N50" s="506">
        <f t="shared" si="20"/>
        <v>9150</v>
      </c>
      <c r="O50" s="453">
        <v>5.56</v>
      </c>
    </row>
    <row r="51" spans="1:19" s="127" customFormat="1" ht="12.75">
      <c r="A51" s="405" t="s">
        <v>596</v>
      </c>
      <c r="B51" s="437" t="s">
        <v>628</v>
      </c>
      <c r="C51" s="488">
        <v>957</v>
      </c>
      <c r="D51" s="488">
        <v>420</v>
      </c>
      <c r="E51" s="488">
        <f t="shared" si="0"/>
        <v>1377</v>
      </c>
      <c r="F51" s="488">
        <v>402</v>
      </c>
      <c r="G51" s="488">
        <v>9</v>
      </c>
      <c r="H51" s="488">
        <v>1269</v>
      </c>
      <c r="I51" s="406"/>
      <c r="J51" s="504">
        <f t="shared" si="17"/>
        <v>1269</v>
      </c>
      <c r="K51" s="505">
        <f t="shared" si="18"/>
        <v>1680</v>
      </c>
      <c r="L51" s="506">
        <f t="shared" si="19"/>
        <v>3057</v>
      </c>
      <c r="M51" s="506">
        <v>2187</v>
      </c>
      <c r="N51" s="506">
        <f t="shared" si="20"/>
        <v>5244</v>
      </c>
      <c r="O51" s="453">
        <v>3</v>
      </c>
      <c r="P51"/>
      <c r="Q51"/>
      <c r="R51"/>
      <c r="S51"/>
    </row>
    <row r="52" spans="1:15" ht="12.75">
      <c r="A52" s="428" t="s">
        <v>597</v>
      </c>
      <c r="B52" s="446" t="s">
        <v>598</v>
      </c>
      <c r="C52" s="496"/>
      <c r="D52" s="496">
        <v>217</v>
      </c>
      <c r="E52" s="496">
        <f t="shared" si="0"/>
        <v>217</v>
      </c>
      <c r="F52" s="496">
        <v>40</v>
      </c>
      <c r="G52" s="496"/>
      <c r="H52" s="496">
        <v>568</v>
      </c>
      <c r="I52" s="429"/>
      <c r="J52" s="504">
        <f t="shared" si="17"/>
        <v>568</v>
      </c>
      <c r="K52" s="505">
        <f t="shared" si="18"/>
        <v>608</v>
      </c>
      <c r="L52" s="506">
        <f t="shared" si="19"/>
        <v>825</v>
      </c>
      <c r="M52" s="506"/>
      <c r="N52" s="506">
        <f t="shared" si="20"/>
        <v>825</v>
      </c>
      <c r="O52" s="453"/>
    </row>
    <row r="53" spans="1:15" ht="13.5" thickBot="1">
      <c r="A53" s="407" t="s">
        <v>597</v>
      </c>
      <c r="B53" s="438" t="s">
        <v>598</v>
      </c>
      <c r="C53" s="489"/>
      <c r="D53" s="489">
        <v>49</v>
      </c>
      <c r="E53" s="489">
        <f t="shared" si="0"/>
        <v>49</v>
      </c>
      <c r="F53" s="489">
        <v>0</v>
      </c>
      <c r="G53" s="489"/>
      <c r="H53" s="489">
        <v>336</v>
      </c>
      <c r="I53" s="408"/>
      <c r="J53" s="507">
        <f t="shared" si="17"/>
        <v>336</v>
      </c>
      <c r="K53" s="508">
        <f t="shared" si="18"/>
        <v>336</v>
      </c>
      <c r="L53" s="509">
        <f t="shared" si="19"/>
        <v>385</v>
      </c>
      <c r="M53" s="509"/>
      <c r="N53" s="509">
        <f t="shared" si="20"/>
        <v>385</v>
      </c>
      <c r="O53" s="454"/>
    </row>
    <row r="54" spans="1:15" ht="13.5" thickBot="1">
      <c r="A54" s="409"/>
      <c r="B54" s="439" t="s">
        <v>520</v>
      </c>
      <c r="C54" s="490">
        <f aca="true" t="shared" si="21" ref="C54:O54">SUM(C46:C53)</f>
        <v>89135.11600000001</v>
      </c>
      <c r="D54" s="490">
        <f t="shared" si="21"/>
        <v>153898.713</v>
      </c>
      <c r="E54" s="490">
        <f t="shared" si="0"/>
        <v>243033.829</v>
      </c>
      <c r="F54" s="490">
        <f t="shared" si="21"/>
        <v>48070.621</v>
      </c>
      <c r="G54" s="490">
        <f t="shared" si="21"/>
        <v>1365.8809999999999</v>
      </c>
      <c r="H54" s="490">
        <f t="shared" si="21"/>
        <v>177837.472</v>
      </c>
      <c r="I54" s="411">
        <f t="shared" si="21"/>
        <v>0</v>
      </c>
      <c r="J54" s="510">
        <f t="shared" si="21"/>
        <v>177837.472</v>
      </c>
      <c r="K54" s="510">
        <f t="shared" si="21"/>
        <v>227273.97400000002</v>
      </c>
      <c r="L54" s="511">
        <f t="shared" si="21"/>
        <v>470307.803</v>
      </c>
      <c r="M54" s="511">
        <f t="shared" si="21"/>
        <v>5326</v>
      </c>
      <c r="N54" s="511">
        <f t="shared" si="21"/>
        <v>475633.803</v>
      </c>
      <c r="O54" s="455">
        <f t="shared" si="21"/>
        <v>249.21000000000004</v>
      </c>
    </row>
    <row r="55" spans="1:15" ht="14.25" customHeight="1">
      <c r="A55" s="412" t="s">
        <v>149</v>
      </c>
      <c r="B55" s="441" t="s">
        <v>599</v>
      </c>
      <c r="C55" s="491">
        <v>8805</v>
      </c>
      <c r="D55" s="491">
        <v>1024</v>
      </c>
      <c r="E55" s="491">
        <f t="shared" si="0"/>
        <v>9829</v>
      </c>
      <c r="F55" s="491">
        <v>3200</v>
      </c>
      <c r="G55" s="491">
        <v>89</v>
      </c>
      <c r="H55" s="491">
        <v>7520</v>
      </c>
      <c r="I55" s="413"/>
      <c r="J55" s="505">
        <f t="shared" si="17"/>
        <v>7520</v>
      </c>
      <c r="K55" s="505">
        <f t="shared" si="18"/>
        <v>10809</v>
      </c>
      <c r="L55" s="506">
        <f t="shared" si="19"/>
        <v>20638</v>
      </c>
      <c r="M55" s="506">
        <v>1370</v>
      </c>
      <c r="N55" s="506">
        <f t="shared" si="20"/>
        <v>22008</v>
      </c>
      <c r="O55" s="453">
        <v>30.19</v>
      </c>
    </row>
    <row r="56" spans="1:15" ht="14.25" customHeight="1">
      <c r="A56" s="405" t="s">
        <v>600</v>
      </c>
      <c r="B56" s="437" t="s">
        <v>601</v>
      </c>
      <c r="C56" s="488">
        <v>153</v>
      </c>
      <c r="D56" s="488">
        <v>160</v>
      </c>
      <c r="E56" s="488">
        <f t="shared" si="0"/>
        <v>313</v>
      </c>
      <c r="F56" s="488">
        <v>53</v>
      </c>
      <c r="G56" s="488">
        <v>2</v>
      </c>
      <c r="H56" s="488">
        <v>585</v>
      </c>
      <c r="I56" s="406"/>
      <c r="J56" s="504">
        <f>SUM(H56:I56)</f>
        <v>585</v>
      </c>
      <c r="K56" s="505">
        <f>SUM(F56,G56,J56)</f>
        <v>640</v>
      </c>
      <c r="L56" s="506">
        <f>SUM(E56,K56)</f>
        <v>953</v>
      </c>
      <c r="M56" s="506"/>
      <c r="N56" s="506">
        <f>SUM(L56,M56)</f>
        <v>953</v>
      </c>
      <c r="O56" s="453">
        <v>0.58</v>
      </c>
    </row>
    <row r="57" spans="1:15" ht="14.25" customHeight="1" thickBot="1">
      <c r="A57" s="407" t="s">
        <v>150</v>
      </c>
      <c r="B57" s="438" t="s">
        <v>629</v>
      </c>
      <c r="C57" s="489"/>
      <c r="D57" s="489">
        <v>170</v>
      </c>
      <c r="E57" s="489">
        <f t="shared" si="0"/>
        <v>170</v>
      </c>
      <c r="F57" s="489"/>
      <c r="G57" s="489"/>
      <c r="H57" s="489">
        <v>3</v>
      </c>
      <c r="I57" s="408"/>
      <c r="J57" s="507">
        <f>SUM(H57:I57)</f>
        <v>3</v>
      </c>
      <c r="K57" s="508">
        <f>SUM(F57,G57,J57)</f>
        <v>3</v>
      </c>
      <c r="L57" s="509">
        <f>SUM(E57,K57)</f>
        <v>173</v>
      </c>
      <c r="M57" s="509"/>
      <c r="N57" s="509">
        <f>SUM(L57,M57)</f>
        <v>173</v>
      </c>
      <c r="O57" s="454"/>
    </row>
    <row r="58" spans="1:15" ht="14.25" customHeight="1" thickBot="1">
      <c r="A58" s="409"/>
      <c r="B58" s="439" t="s">
        <v>412</v>
      </c>
      <c r="C58" s="490">
        <f>SUM(C55:C57)</f>
        <v>8958</v>
      </c>
      <c r="D58" s="490">
        <f aca="true" t="shared" si="22" ref="D58:O58">SUM(D55:D57)</f>
        <v>1354</v>
      </c>
      <c r="E58" s="490">
        <f t="shared" si="22"/>
        <v>10312</v>
      </c>
      <c r="F58" s="490">
        <f t="shared" si="22"/>
        <v>3253</v>
      </c>
      <c r="G58" s="490">
        <f t="shared" si="22"/>
        <v>91</v>
      </c>
      <c r="H58" s="490">
        <f t="shared" si="22"/>
        <v>8108</v>
      </c>
      <c r="I58" s="411">
        <f t="shared" si="22"/>
        <v>0</v>
      </c>
      <c r="J58" s="510">
        <f t="shared" si="22"/>
        <v>8108</v>
      </c>
      <c r="K58" s="510">
        <f t="shared" si="22"/>
        <v>11452</v>
      </c>
      <c r="L58" s="511">
        <f t="shared" si="22"/>
        <v>21764</v>
      </c>
      <c r="M58" s="511">
        <f t="shared" si="22"/>
        <v>1370</v>
      </c>
      <c r="N58" s="511">
        <f t="shared" si="22"/>
        <v>23134</v>
      </c>
      <c r="O58" s="455">
        <f t="shared" si="22"/>
        <v>30.77</v>
      </c>
    </row>
    <row r="59" spans="1:15" ht="14.25" customHeight="1">
      <c r="A59" s="414"/>
      <c r="B59" s="440" t="s">
        <v>637</v>
      </c>
      <c r="C59" s="487">
        <f>'EU '!C122</f>
        <v>11623.995</v>
      </c>
      <c r="D59" s="487">
        <f>'EU '!D122</f>
        <v>5021.382</v>
      </c>
      <c r="E59" s="487">
        <f t="shared" si="0"/>
        <v>16645.377</v>
      </c>
      <c r="F59" s="487">
        <f>'EU '!E122</f>
        <v>5126.014</v>
      </c>
      <c r="G59" s="487">
        <f>'EU '!F122</f>
        <v>164.786</v>
      </c>
      <c r="H59" s="487">
        <f>'EU '!G122</f>
        <v>32975.964</v>
      </c>
      <c r="I59" s="415"/>
      <c r="J59" s="503">
        <f aca="true" t="shared" si="23" ref="J59:J69">SUM(H59:I59)</f>
        <v>32975.964</v>
      </c>
      <c r="K59" s="503">
        <f aca="true" t="shared" si="24" ref="K59:K69">SUM(F59,G59,J59)</f>
        <v>38266.764</v>
      </c>
      <c r="L59" s="503">
        <f aca="true" t="shared" si="25" ref="L59:L69">SUM(E59,K59)</f>
        <v>54912.141</v>
      </c>
      <c r="M59" s="503"/>
      <c r="N59" s="503">
        <f aca="true" t="shared" si="26" ref="N59:N69">SUM(L59,M59)</f>
        <v>54912.141</v>
      </c>
      <c r="O59" s="457">
        <f>'EU '!J122</f>
        <v>46.400000000000006</v>
      </c>
    </row>
    <row r="60" spans="1:15" ht="25.5">
      <c r="A60" s="412" t="s">
        <v>602</v>
      </c>
      <c r="B60" s="441" t="s">
        <v>603</v>
      </c>
      <c r="C60" s="491"/>
      <c r="D60" s="491">
        <v>90</v>
      </c>
      <c r="E60" s="491">
        <f t="shared" si="0"/>
        <v>90</v>
      </c>
      <c r="F60" s="491"/>
      <c r="G60" s="491"/>
      <c r="H60" s="491">
        <v>585</v>
      </c>
      <c r="I60" s="413"/>
      <c r="J60" s="504">
        <f t="shared" si="23"/>
        <v>585</v>
      </c>
      <c r="K60" s="505">
        <f t="shared" si="24"/>
        <v>585</v>
      </c>
      <c r="L60" s="506">
        <f t="shared" si="25"/>
        <v>675</v>
      </c>
      <c r="M60" s="506"/>
      <c r="N60" s="506">
        <f t="shared" si="26"/>
        <v>675</v>
      </c>
      <c r="O60" s="453"/>
    </row>
    <row r="61" spans="1:15" ht="25.5" hidden="1">
      <c r="A61" s="405" t="s">
        <v>384</v>
      </c>
      <c r="B61" s="437" t="s">
        <v>385</v>
      </c>
      <c r="C61" s="488"/>
      <c r="D61" s="488">
        <v>0</v>
      </c>
      <c r="E61" s="488">
        <f t="shared" si="0"/>
        <v>0</v>
      </c>
      <c r="F61" s="488"/>
      <c r="G61" s="488"/>
      <c r="H61" s="488">
        <v>0</v>
      </c>
      <c r="I61" s="406"/>
      <c r="J61" s="504">
        <f t="shared" si="23"/>
        <v>0</v>
      </c>
      <c r="K61" s="505">
        <f t="shared" si="24"/>
        <v>0</v>
      </c>
      <c r="L61" s="506">
        <f t="shared" si="25"/>
        <v>0</v>
      </c>
      <c r="M61" s="506"/>
      <c r="N61" s="506">
        <f t="shared" si="26"/>
        <v>0</v>
      </c>
      <c r="O61" s="453"/>
    </row>
    <row r="62" spans="1:15" ht="14.25" customHeight="1">
      <c r="A62" s="405" t="s">
        <v>182</v>
      </c>
      <c r="B62" s="437" t="s">
        <v>168</v>
      </c>
      <c r="C62" s="488"/>
      <c r="D62" s="488">
        <v>22</v>
      </c>
      <c r="E62" s="488">
        <f t="shared" si="0"/>
        <v>22</v>
      </c>
      <c r="F62" s="488"/>
      <c r="G62" s="488"/>
      <c r="H62" s="488">
        <v>566</v>
      </c>
      <c r="I62" s="406"/>
      <c r="J62" s="504">
        <f t="shared" si="23"/>
        <v>566</v>
      </c>
      <c r="K62" s="505">
        <f t="shared" si="24"/>
        <v>566</v>
      </c>
      <c r="L62" s="506">
        <f t="shared" si="25"/>
        <v>588</v>
      </c>
      <c r="M62" s="506"/>
      <c r="N62" s="506">
        <f t="shared" si="26"/>
        <v>588</v>
      </c>
      <c r="O62" s="453"/>
    </row>
    <row r="63" spans="1:15" ht="14.25" customHeight="1">
      <c r="A63" s="405" t="s">
        <v>604</v>
      </c>
      <c r="B63" s="437" t="s">
        <v>605</v>
      </c>
      <c r="C63" s="488">
        <v>0</v>
      </c>
      <c r="D63" s="488"/>
      <c r="E63" s="488">
        <f t="shared" si="0"/>
        <v>0</v>
      </c>
      <c r="F63" s="488"/>
      <c r="G63" s="488"/>
      <c r="H63" s="488"/>
      <c r="I63" s="406"/>
      <c r="J63" s="504">
        <f t="shared" si="23"/>
        <v>0</v>
      </c>
      <c r="K63" s="505">
        <f t="shared" si="24"/>
        <v>0</v>
      </c>
      <c r="L63" s="506">
        <f t="shared" si="25"/>
        <v>0</v>
      </c>
      <c r="M63" s="506"/>
      <c r="N63" s="506">
        <f t="shared" si="26"/>
        <v>0</v>
      </c>
      <c r="O63" s="453">
        <v>0.66</v>
      </c>
    </row>
    <row r="64" spans="1:15" ht="14.25" customHeight="1">
      <c r="A64" s="430" t="s">
        <v>606</v>
      </c>
      <c r="B64" s="447" t="s">
        <v>605</v>
      </c>
      <c r="C64" s="497">
        <v>237</v>
      </c>
      <c r="D64" s="497">
        <v>56</v>
      </c>
      <c r="E64" s="497">
        <f t="shared" si="0"/>
        <v>293</v>
      </c>
      <c r="F64" s="497">
        <v>107</v>
      </c>
      <c r="G64" s="497">
        <v>4</v>
      </c>
      <c r="H64" s="497">
        <v>66</v>
      </c>
      <c r="I64" s="431"/>
      <c r="J64" s="504">
        <f t="shared" si="23"/>
        <v>66</v>
      </c>
      <c r="K64" s="505">
        <f t="shared" si="24"/>
        <v>177</v>
      </c>
      <c r="L64" s="506">
        <f t="shared" si="25"/>
        <v>470</v>
      </c>
      <c r="M64" s="506"/>
      <c r="N64" s="506">
        <f t="shared" si="26"/>
        <v>470</v>
      </c>
      <c r="O64" s="453"/>
    </row>
    <row r="65" spans="1:15" ht="12.75">
      <c r="A65" s="432" t="s">
        <v>606</v>
      </c>
      <c r="B65" s="448" t="s">
        <v>643</v>
      </c>
      <c r="C65" s="498">
        <f>234+85</f>
        <v>319</v>
      </c>
      <c r="D65" s="498">
        <f>99+33</f>
        <v>132</v>
      </c>
      <c r="E65" s="498">
        <f t="shared" si="0"/>
        <v>451</v>
      </c>
      <c r="F65" s="498">
        <f>90+33</f>
        <v>123</v>
      </c>
      <c r="G65" s="498">
        <v>4</v>
      </c>
      <c r="H65" s="498">
        <f>477+57+7</f>
        <v>541</v>
      </c>
      <c r="I65" s="433"/>
      <c r="J65" s="504">
        <f t="shared" si="23"/>
        <v>541</v>
      </c>
      <c r="K65" s="505">
        <f t="shared" si="24"/>
        <v>668</v>
      </c>
      <c r="L65" s="506">
        <f t="shared" si="25"/>
        <v>1119</v>
      </c>
      <c r="M65" s="506"/>
      <c r="N65" s="506">
        <f t="shared" si="26"/>
        <v>1119</v>
      </c>
      <c r="O65" s="453"/>
    </row>
    <row r="66" spans="1:15" ht="14.25" customHeight="1">
      <c r="A66" s="405" t="s">
        <v>151</v>
      </c>
      <c r="B66" s="437" t="s">
        <v>152</v>
      </c>
      <c r="C66" s="488">
        <v>8568</v>
      </c>
      <c r="D66" s="488">
        <v>2974</v>
      </c>
      <c r="E66" s="488">
        <f t="shared" si="0"/>
        <v>11542</v>
      </c>
      <c r="F66" s="488">
        <v>3202</v>
      </c>
      <c r="G66" s="488">
        <v>86</v>
      </c>
      <c r="H66" s="488">
        <v>4405</v>
      </c>
      <c r="I66" s="406"/>
      <c r="J66" s="504">
        <f t="shared" si="23"/>
        <v>4405</v>
      </c>
      <c r="K66" s="505">
        <f t="shared" si="24"/>
        <v>7693</v>
      </c>
      <c r="L66" s="506">
        <f t="shared" si="25"/>
        <v>19235</v>
      </c>
      <c r="M66" s="506">
        <v>3473</v>
      </c>
      <c r="N66" s="506">
        <f t="shared" si="26"/>
        <v>22708</v>
      </c>
      <c r="O66" s="453">
        <v>30.2</v>
      </c>
    </row>
    <row r="67" spans="1:15" ht="14.25" customHeight="1">
      <c r="A67" s="405" t="s">
        <v>155</v>
      </c>
      <c r="B67" s="437" t="s">
        <v>156</v>
      </c>
      <c r="C67" s="488"/>
      <c r="D67" s="488">
        <v>1135</v>
      </c>
      <c r="E67" s="488">
        <f t="shared" si="0"/>
        <v>1135</v>
      </c>
      <c r="F67" s="488"/>
      <c r="G67" s="488"/>
      <c r="H67" s="488">
        <v>2871</v>
      </c>
      <c r="I67" s="406"/>
      <c r="J67" s="504">
        <f t="shared" si="23"/>
        <v>2871</v>
      </c>
      <c r="K67" s="505">
        <f t="shared" si="24"/>
        <v>2871</v>
      </c>
      <c r="L67" s="506">
        <f t="shared" si="25"/>
        <v>4006</v>
      </c>
      <c r="M67" s="506">
        <v>700</v>
      </c>
      <c r="N67" s="506">
        <f t="shared" si="26"/>
        <v>4706</v>
      </c>
      <c r="O67" s="453"/>
    </row>
    <row r="68" spans="1:15" ht="14.25" customHeight="1">
      <c r="A68" s="405" t="s">
        <v>153</v>
      </c>
      <c r="B68" s="437" t="s">
        <v>154</v>
      </c>
      <c r="C68" s="488">
        <v>450</v>
      </c>
      <c r="D68" s="488">
        <v>750</v>
      </c>
      <c r="E68" s="488">
        <f t="shared" si="0"/>
        <v>1200</v>
      </c>
      <c r="F68" s="488">
        <v>306</v>
      </c>
      <c r="G68" s="488">
        <v>9</v>
      </c>
      <c r="H68" s="488">
        <v>5660</v>
      </c>
      <c r="I68" s="406"/>
      <c r="J68" s="504">
        <f t="shared" si="23"/>
        <v>5660</v>
      </c>
      <c r="K68" s="505">
        <f t="shared" si="24"/>
        <v>5975</v>
      </c>
      <c r="L68" s="506">
        <f t="shared" si="25"/>
        <v>7175</v>
      </c>
      <c r="M68" s="506">
        <v>6859</v>
      </c>
      <c r="N68" s="506">
        <f t="shared" si="26"/>
        <v>14034</v>
      </c>
      <c r="O68" s="453">
        <v>14</v>
      </c>
    </row>
    <row r="69" spans="1:15" ht="14.25" customHeight="1" thickBot="1">
      <c r="A69" s="407" t="s">
        <v>386</v>
      </c>
      <c r="B69" s="438" t="s">
        <v>387</v>
      </c>
      <c r="C69" s="489"/>
      <c r="D69" s="489">
        <v>105</v>
      </c>
      <c r="E69" s="489">
        <f aca="true" t="shared" si="27" ref="E69:E98">SUM(C69:D69)</f>
        <v>105</v>
      </c>
      <c r="F69" s="489"/>
      <c r="G69" s="489"/>
      <c r="H69" s="489">
        <v>214</v>
      </c>
      <c r="I69" s="408"/>
      <c r="J69" s="507">
        <f t="shared" si="23"/>
        <v>214</v>
      </c>
      <c r="K69" s="508">
        <f t="shared" si="24"/>
        <v>214</v>
      </c>
      <c r="L69" s="509">
        <f t="shared" si="25"/>
        <v>319</v>
      </c>
      <c r="M69" s="509"/>
      <c r="N69" s="509">
        <f t="shared" si="26"/>
        <v>319</v>
      </c>
      <c r="O69" s="454"/>
    </row>
    <row r="70" spans="1:15" ht="14.25" customHeight="1" thickBot="1">
      <c r="A70" s="409"/>
      <c r="B70" s="439" t="s">
        <v>28</v>
      </c>
      <c r="C70" s="490">
        <f aca="true" t="shared" si="28" ref="C70:O70">SUM(C59:C69)</f>
        <v>21197.995000000003</v>
      </c>
      <c r="D70" s="490">
        <f t="shared" si="28"/>
        <v>10285.382</v>
      </c>
      <c r="E70" s="490">
        <f t="shared" si="28"/>
        <v>31483.377</v>
      </c>
      <c r="F70" s="490">
        <f t="shared" si="28"/>
        <v>8864.014</v>
      </c>
      <c r="G70" s="490">
        <f t="shared" si="28"/>
        <v>267.786</v>
      </c>
      <c r="H70" s="490">
        <f t="shared" si="28"/>
        <v>47883.964</v>
      </c>
      <c r="I70" s="411">
        <f t="shared" si="28"/>
        <v>0</v>
      </c>
      <c r="J70" s="510">
        <f t="shared" si="28"/>
        <v>47883.964</v>
      </c>
      <c r="K70" s="510">
        <f t="shared" si="28"/>
        <v>57015.764</v>
      </c>
      <c r="L70" s="511">
        <f t="shared" si="28"/>
        <v>88499.141</v>
      </c>
      <c r="M70" s="511">
        <f t="shared" si="28"/>
        <v>11032</v>
      </c>
      <c r="N70" s="511">
        <f t="shared" si="28"/>
        <v>99531.141</v>
      </c>
      <c r="O70" s="455">
        <f t="shared" si="28"/>
        <v>91.26</v>
      </c>
    </row>
    <row r="71" spans="1:15" ht="14.25" customHeight="1">
      <c r="A71" s="414"/>
      <c r="B71" s="440" t="s">
        <v>638</v>
      </c>
      <c r="C71" s="487">
        <f>'EU '!C133</f>
        <v>0</v>
      </c>
      <c r="D71" s="487">
        <f>'EU '!D133</f>
        <v>1099.7069999999999</v>
      </c>
      <c r="E71" s="487">
        <f t="shared" si="27"/>
        <v>1099.7069999999999</v>
      </c>
      <c r="F71" s="487">
        <f>'EU '!E133</f>
        <v>285</v>
      </c>
      <c r="G71" s="487">
        <f>'EU '!F133</f>
        <v>0</v>
      </c>
      <c r="H71" s="487">
        <f>'EU '!G133</f>
        <v>13543.055999999999</v>
      </c>
      <c r="I71" s="415"/>
      <c r="J71" s="503">
        <f>SUM(H71:I71)</f>
        <v>13543.055999999999</v>
      </c>
      <c r="K71" s="503">
        <f>SUM(F71,G71,J71)</f>
        <v>13828.055999999999</v>
      </c>
      <c r="L71" s="503">
        <f>SUM(E71,K71)</f>
        <v>14927.762999999999</v>
      </c>
      <c r="M71" s="503"/>
      <c r="N71" s="503">
        <f>SUM(L71,M71)</f>
        <v>14927.762999999999</v>
      </c>
      <c r="O71" s="457">
        <f>'EU '!J133</f>
        <v>0</v>
      </c>
    </row>
    <row r="72" spans="1:15" ht="14.25" customHeight="1">
      <c r="A72" s="412" t="s">
        <v>607</v>
      </c>
      <c r="B72" s="441" t="s">
        <v>608</v>
      </c>
      <c r="C72" s="491"/>
      <c r="D72" s="491"/>
      <c r="E72" s="491">
        <f t="shared" si="27"/>
        <v>0</v>
      </c>
      <c r="F72" s="491"/>
      <c r="G72" s="491"/>
      <c r="H72" s="491">
        <v>468</v>
      </c>
      <c r="I72" s="413"/>
      <c r="J72" s="504">
        <f aca="true" t="shared" si="29" ref="J72:J95">SUM(H72:I72)</f>
        <v>468</v>
      </c>
      <c r="K72" s="505">
        <f aca="true" t="shared" si="30" ref="K72:K95">SUM(F72,G72,J72)</f>
        <v>468</v>
      </c>
      <c r="L72" s="506">
        <f aca="true" t="shared" si="31" ref="L72:L95">SUM(E72,K72)</f>
        <v>468</v>
      </c>
      <c r="M72" s="506"/>
      <c r="N72" s="506">
        <f aca="true" t="shared" si="32" ref="N72:N95">SUM(L72,M72)</f>
        <v>468</v>
      </c>
      <c r="O72" s="453"/>
    </row>
    <row r="73" spans="1:15" ht="12.75">
      <c r="A73" s="432" t="s">
        <v>607</v>
      </c>
      <c r="B73" s="448" t="s">
        <v>644</v>
      </c>
      <c r="C73" s="498"/>
      <c r="D73" s="498"/>
      <c r="E73" s="498">
        <f t="shared" si="27"/>
        <v>0</v>
      </c>
      <c r="F73" s="498"/>
      <c r="G73" s="498"/>
      <c r="H73" s="498">
        <v>21</v>
      </c>
      <c r="I73" s="433"/>
      <c r="J73" s="504">
        <f t="shared" si="29"/>
        <v>21</v>
      </c>
      <c r="K73" s="505">
        <f t="shared" si="30"/>
        <v>21</v>
      </c>
      <c r="L73" s="506">
        <f t="shared" si="31"/>
        <v>21</v>
      </c>
      <c r="M73" s="506"/>
      <c r="N73" s="506">
        <f t="shared" si="32"/>
        <v>21</v>
      </c>
      <c r="O73" s="453"/>
    </row>
    <row r="74" spans="1:15" ht="12.75">
      <c r="A74" s="405" t="s">
        <v>388</v>
      </c>
      <c r="B74" s="437" t="s">
        <v>389</v>
      </c>
      <c r="C74" s="488"/>
      <c r="D74" s="488"/>
      <c r="E74" s="488">
        <f t="shared" si="27"/>
        <v>0</v>
      </c>
      <c r="F74" s="488"/>
      <c r="G74" s="488"/>
      <c r="H74" s="488">
        <v>0</v>
      </c>
      <c r="I74" s="406"/>
      <c r="J74" s="504">
        <f t="shared" si="29"/>
        <v>0</v>
      </c>
      <c r="K74" s="505">
        <f t="shared" si="30"/>
        <v>0</v>
      </c>
      <c r="L74" s="506">
        <f t="shared" si="31"/>
        <v>0</v>
      </c>
      <c r="M74" s="506"/>
      <c r="N74" s="506">
        <f t="shared" si="32"/>
        <v>0</v>
      </c>
      <c r="O74" s="453"/>
    </row>
    <row r="75" spans="1:15" ht="14.25" customHeight="1">
      <c r="A75" s="405" t="s">
        <v>157</v>
      </c>
      <c r="B75" s="437" t="s">
        <v>198</v>
      </c>
      <c r="C75" s="488">
        <v>39175</v>
      </c>
      <c r="D75" s="488">
        <v>1108</v>
      </c>
      <c r="E75" s="488">
        <f t="shared" si="27"/>
        <v>40283</v>
      </c>
      <c r="F75" s="488">
        <v>13098</v>
      </c>
      <c r="G75" s="488">
        <v>385</v>
      </c>
      <c r="H75" s="488">
        <v>216497</v>
      </c>
      <c r="I75" s="406"/>
      <c r="J75" s="504">
        <f t="shared" si="29"/>
        <v>216497</v>
      </c>
      <c r="K75" s="505">
        <f t="shared" si="30"/>
        <v>229980</v>
      </c>
      <c r="L75" s="506">
        <f t="shared" si="31"/>
        <v>270263</v>
      </c>
      <c r="M75" s="506">
        <f>15150</f>
        <v>15150</v>
      </c>
      <c r="N75" s="506">
        <f t="shared" si="32"/>
        <v>285413</v>
      </c>
      <c r="O75" s="453">
        <v>158</v>
      </c>
    </row>
    <row r="76" spans="1:15" ht="14.25" customHeight="1">
      <c r="A76" s="416" t="s">
        <v>157</v>
      </c>
      <c r="B76" s="442" t="s">
        <v>198</v>
      </c>
      <c r="C76" s="492"/>
      <c r="D76" s="492"/>
      <c r="E76" s="492">
        <f t="shared" si="27"/>
        <v>0</v>
      </c>
      <c r="F76" s="492"/>
      <c r="G76" s="492"/>
      <c r="H76" s="492">
        <v>11416</v>
      </c>
      <c r="I76" s="417"/>
      <c r="J76" s="504">
        <f t="shared" si="29"/>
        <v>11416</v>
      </c>
      <c r="K76" s="505">
        <f t="shared" si="30"/>
        <v>11416</v>
      </c>
      <c r="L76" s="506">
        <f t="shared" si="31"/>
        <v>11416</v>
      </c>
      <c r="M76" s="506"/>
      <c r="N76" s="506">
        <f t="shared" si="32"/>
        <v>11416</v>
      </c>
      <c r="O76" s="453"/>
    </row>
    <row r="77" spans="1:15" ht="14.25" customHeight="1" hidden="1">
      <c r="A77" s="416" t="s">
        <v>197</v>
      </c>
      <c r="B77" s="442" t="s">
        <v>199</v>
      </c>
      <c r="C77" s="492"/>
      <c r="D77" s="492"/>
      <c r="E77" s="492">
        <f t="shared" si="27"/>
        <v>0</v>
      </c>
      <c r="F77" s="492"/>
      <c r="G77" s="492"/>
      <c r="H77" s="492"/>
      <c r="I77" s="417"/>
      <c r="J77" s="504">
        <f t="shared" si="29"/>
        <v>0</v>
      </c>
      <c r="K77" s="505">
        <f t="shared" si="30"/>
        <v>0</v>
      </c>
      <c r="L77" s="506">
        <f t="shared" si="31"/>
        <v>0</v>
      </c>
      <c r="M77" s="506"/>
      <c r="N77" s="506">
        <f t="shared" si="32"/>
        <v>0</v>
      </c>
      <c r="O77" s="453"/>
    </row>
    <row r="78" spans="1:15" ht="14.25" customHeight="1" hidden="1">
      <c r="A78" s="425" t="s">
        <v>197</v>
      </c>
      <c r="B78" s="444" t="s">
        <v>199</v>
      </c>
      <c r="C78" s="495"/>
      <c r="D78" s="495"/>
      <c r="E78" s="495">
        <f t="shared" si="27"/>
        <v>0</v>
      </c>
      <c r="F78" s="495"/>
      <c r="G78" s="495"/>
      <c r="H78" s="495"/>
      <c r="I78" s="426"/>
      <c r="J78" s="504">
        <f t="shared" si="29"/>
        <v>0</v>
      </c>
      <c r="K78" s="505">
        <f t="shared" si="30"/>
        <v>0</v>
      </c>
      <c r="L78" s="506">
        <f t="shared" si="31"/>
        <v>0</v>
      </c>
      <c r="M78" s="506"/>
      <c r="N78" s="506">
        <f t="shared" si="32"/>
        <v>0</v>
      </c>
      <c r="O78" s="453"/>
    </row>
    <row r="79" spans="1:15" ht="14.25" customHeight="1">
      <c r="A79" s="405" t="s">
        <v>158</v>
      </c>
      <c r="B79" s="437" t="s">
        <v>200</v>
      </c>
      <c r="C79" s="488"/>
      <c r="D79" s="488"/>
      <c r="E79" s="488">
        <f t="shared" si="27"/>
        <v>0</v>
      </c>
      <c r="F79" s="488"/>
      <c r="G79" s="488"/>
      <c r="H79" s="488">
        <v>47788</v>
      </c>
      <c r="I79" s="406"/>
      <c r="J79" s="504">
        <f t="shared" si="29"/>
        <v>47788</v>
      </c>
      <c r="K79" s="505">
        <f t="shared" si="30"/>
        <v>47788</v>
      </c>
      <c r="L79" s="506">
        <f t="shared" si="31"/>
        <v>47788</v>
      </c>
      <c r="M79" s="506"/>
      <c r="N79" s="506">
        <f t="shared" si="32"/>
        <v>47788</v>
      </c>
      <c r="O79" s="453"/>
    </row>
    <row r="80" spans="1:15" ht="14.25" customHeight="1">
      <c r="A80" s="405" t="s">
        <v>159</v>
      </c>
      <c r="B80" s="437" t="s">
        <v>609</v>
      </c>
      <c r="C80" s="488">
        <v>61</v>
      </c>
      <c r="D80" s="488">
        <v>32</v>
      </c>
      <c r="E80" s="488">
        <f t="shared" si="27"/>
        <v>93</v>
      </c>
      <c r="F80" s="488">
        <v>19</v>
      </c>
      <c r="G80" s="488"/>
      <c r="H80" s="488">
        <v>383</v>
      </c>
      <c r="I80" s="406"/>
      <c r="J80" s="504">
        <f t="shared" si="29"/>
        <v>383</v>
      </c>
      <c r="K80" s="505">
        <f t="shared" si="30"/>
        <v>402</v>
      </c>
      <c r="L80" s="506">
        <f t="shared" si="31"/>
        <v>495</v>
      </c>
      <c r="M80" s="506"/>
      <c r="N80" s="506">
        <f t="shared" si="32"/>
        <v>495</v>
      </c>
      <c r="O80" s="453"/>
    </row>
    <row r="81" spans="1:15" ht="14.25" customHeight="1" thickBot="1">
      <c r="A81" s="407" t="s">
        <v>390</v>
      </c>
      <c r="B81" s="438" t="s">
        <v>610</v>
      </c>
      <c r="C81" s="489"/>
      <c r="D81" s="489"/>
      <c r="E81" s="489">
        <f t="shared" si="27"/>
        <v>0</v>
      </c>
      <c r="F81" s="489"/>
      <c r="G81" s="489"/>
      <c r="H81" s="489"/>
      <c r="I81" s="408"/>
      <c r="J81" s="507">
        <f t="shared" si="29"/>
        <v>0</v>
      </c>
      <c r="K81" s="508">
        <f t="shared" si="30"/>
        <v>0</v>
      </c>
      <c r="L81" s="509">
        <f t="shared" si="31"/>
        <v>0</v>
      </c>
      <c r="M81" s="509"/>
      <c r="N81" s="509">
        <f t="shared" si="32"/>
        <v>0</v>
      </c>
      <c r="O81" s="454"/>
    </row>
    <row r="82" spans="1:15" ht="14.25" customHeight="1" thickBot="1">
      <c r="A82" s="409"/>
      <c r="B82" s="439" t="s">
        <v>192</v>
      </c>
      <c r="C82" s="490">
        <f aca="true" t="shared" si="33" ref="C82:H82">SUM(C71:C81)</f>
        <v>39236</v>
      </c>
      <c r="D82" s="490">
        <f t="shared" si="33"/>
        <v>2239.707</v>
      </c>
      <c r="E82" s="490">
        <f t="shared" si="33"/>
        <v>41475.707</v>
      </c>
      <c r="F82" s="490">
        <f t="shared" si="33"/>
        <v>13402</v>
      </c>
      <c r="G82" s="490">
        <f t="shared" si="33"/>
        <v>385</v>
      </c>
      <c r="H82" s="490">
        <f t="shared" si="33"/>
        <v>290116.056</v>
      </c>
      <c r="I82" s="411">
        <f aca="true" t="shared" si="34" ref="I82:O82">SUM(I71:I81)</f>
        <v>0</v>
      </c>
      <c r="J82" s="510">
        <f t="shared" si="34"/>
        <v>290116.056</v>
      </c>
      <c r="K82" s="510">
        <f t="shared" si="34"/>
        <v>303903.056</v>
      </c>
      <c r="L82" s="511">
        <f t="shared" si="34"/>
        <v>345378.763</v>
      </c>
      <c r="M82" s="511">
        <f t="shared" si="34"/>
        <v>15150</v>
      </c>
      <c r="N82" s="511">
        <f t="shared" si="34"/>
        <v>360528.763</v>
      </c>
      <c r="O82" s="455">
        <f t="shared" si="34"/>
        <v>158</v>
      </c>
    </row>
    <row r="83" spans="1:15" ht="14.25" customHeight="1">
      <c r="A83" s="412" t="s">
        <v>160</v>
      </c>
      <c r="B83" s="441" t="s">
        <v>161</v>
      </c>
      <c r="C83" s="491"/>
      <c r="D83" s="491"/>
      <c r="E83" s="491">
        <f t="shared" si="27"/>
        <v>0</v>
      </c>
      <c r="F83" s="491"/>
      <c r="G83" s="491"/>
      <c r="H83" s="491">
        <v>7046</v>
      </c>
      <c r="I83" s="413"/>
      <c r="J83" s="505">
        <f t="shared" si="29"/>
        <v>7046</v>
      </c>
      <c r="K83" s="505">
        <f t="shared" si="30"/>
        <v>7046</v>
      </c>
      <c r="L83" s="506">
        <f t="shared" si="31"/>
        <v>7046</v>
      </c>
      <c r="M83" s="506">
        <v>270</v>
      </c>
      <c r="N83" s="506">
        <f t="shared" si="32"/>
        <v>7316</v>
      </c>
      <c r="O83" s="453"/>
    </row>
    <row r="84" spans="1:15" ht="14.25" customHeight="1" thickBot="1">
      <c r="A84" s="407" t="s">
        <v>183</v>
      </c>
      <c r="B84" s="438" t="s">
        <v>611</v>
      </c>
      <c r="C84" s="489"/>
      <c r="D84" s="489"/>
      <c r="E84" s="489">
        <f t="shared" si="27"/>
        <v>0</v>
      </c>
      <c r="F84" s="489"/>
      <c r="G84" s="489"/>
      <c r="H84" s="489">
        <v>5214</v>
      </c>
      <c r="I84" s="408"/>
      <c r="J84" s="507">
        <f t="shared" si="29"/>
        <v>5214</v>
      </c>
      <c r="K84" s="508">
        <f t="shared" si="30"/>
        <v>5214</v>
      </c>
      <c r="L84" s="509">
        <f t="shared" si="31"/>
        <v>5214</v>
      </c>
      <c r="M84" s="509"/>
      <c r="N84" s="509">
        <f t="shared" si="32"/>
        <v>5214</v>
      </c>
      <c r="O84" s="454"/>
    </row>
    <row r="85" spans="1:15" ht="14.25" customHeight="1" thickBot="1">
      <c r="A85" s="409"/>
      <c r="B85" s="439" t="s">
        <v>100</v>
      </c>
      <c r="C85" s="490">
        <f>SUM(C83:C84)</f>
        <v>0</v>
      </c>
      <c r="D85" s="490">
        <f aca="true" t="shared" si="35" ref="D85:O85">SUM(D83:D84)</f>
        <v>0</v>
      </c>
      <c r="E85" s="490">
        <f t="shared" si="27"/>
        <v>0</v>
      </c>
      <c r="F85" s="490">
        <f t="shared" si="35"/>
        <v>0</v>
      </c>
      <c r="G85" s="490">
        <f t="shared" si="35"/>
        <v>0</v>
      </c>
      <c r="H85" s="490">
        <f t="shared" si="35"/>
        <v>12260</v>
      </c>
      <c r="I85" s="411">
        <f t="shared" si="35"/>
        <v>0</v>
      </c>
      <c r="J85" s="510">
        <f t="shared" si="35"/>
        <v>12260</v>
      </c>
      <c r="K85" s="510">
        <f t="shared" si="35"/>
        <v>12260</v>
      </c>
      <c r="L85" s="511">
        <f t="shared" si="35"/>
        <v>12260</v>
      </c>
      <c r="M85" s="511">
        <f t="shared" si="35"/>
        <v>270</v>
      </c>
      <c r="N85" s="511">
        <f t="shared" si="35"/>
        <v>12530</v>
      </c>
      <c r="O85" s="455">
        <f t="shared" si="35"/>
        <v>0</v>
      </c>
    </row>
    <row r="86" spans="1:15" ht="14.25" customHeight="1">
      <c r="A86" s="414"/>
      <c r="B86" s="440" t="s">
        <v>639</v>
      </c>
      <c r="C86" s="487">
        <f>'EU '!C148</f>
        <v>14296.289</v>
      </c>
      <c r="D86" s="487">
        <f>'EU '!D148</f>
        <v>24663.935999999994</v>
      </c>
      <c r="E86" s="487">
        <f t="shared" si="27"/>
        <v>38960.22499999999</v>
      </c>
      <c r="F86" s="487">
        <f>'EU '!E148</f>
        <v>6427.394</v>
      </c>
      <c r="G86" s="487">
        <f>'EU '!F148</f>
        <v>171.076</v>
      </c>
      <c r="H86" s="487">
        <f>'EU '!G148</f>
        <v>13060.925</v>
      </c>
      <c r="I86" s="415"/>
      <c r="J86" s="503">
        <f>SUM(H86:I86)</f>
        <v>13060.925</v>
      </c>
      <c r="K86" s="503">
        <f t="shared" si="30"/>
        <v>19659.395</v>
      </c>
      <c r="L86" s="503">
        <f t="shared" si="31"/>
        <v>58619.619999999995</v>
      </c>
      <c r="M86" s="503"/>
      <c r="N86" s="503">
        <f t="shared" si="32"/>
        <v>58619.619999999995</v>
      </c>
      <c r="O86" s="457">
        <f>'EU '!J148</f>
        <v>39.58</v>
      </c>
    </row>
    <row r="87" spans="1:15" ht="14.25" customHeight="1">
      <c r="A87" s="412" t="s">
        <v>612</v>
      </c>
      <c r="B87" s="441" t="s">
        <v>613</v>
      </c>
      <c r="C87" s="491">
        <v>21961</v>
      </c>
      <c r="D87" s="491">
        <v>11538</v>
      </c>
      <c r="E87" s="491">
        <f t="shared" si="27"/>
        <v>33499</v>
      </c>
      <c r="F87" s="491">
        <v>9010</v>
      </c>
      <c r="G87" s="491">
        <v>222</v>
      </c>
      <c r="H87" s="491">
        <v>12651</v>
      </c>
      <c r="I87" s="413"/>
      <c r="J87" s="504">
        <f t="shared" si="29"/>
        <v>12651</v>
      </c>
      <c r="K87" s="505">
        <f t="shared" si="30"/>
        <v>21883</v>
      </c>
      <c r="L87" s="506">
        <f t="shared" si="31"/>
        <v>55382</v>
      </c>
      <c r="M87" s="506">
        <v>18298</v>
      </c>
      <c r="N87" s="506">
        <f t="shared" si="32"/>
        <v>73680</v>
      </c>
      <c r="O87" s="453">
        <v>75.67</v>
      </c>
    </row>
    <row r="88" spans="1:15" ht="14.25" customHeight="1">
      <c r="A88" s="405" t="s">
        <v>614</v>
      </c>
      <c r="B88" s="437" t="s">
        <v>615</v>
      </c>
      <c r="C88" s="489">
        <v>1456</v>
      </c>
      <c r="D88" s="489">
        <v>450</v>
      </c>
      <c r="E88" s="489">
        <f t="shared" si="27"/>
        <v>1906</v>
      </c>
      <c r="F88" s="489"/>
      <c r="G88" s="489"/>
      <c r="H88" s="489">
        <v>616</v>
      </c>
      <c r="I88" s="408"/>
      <c r="J88" s="504">
        <f t="shared" si="29"/>
        <v>616</v>
      </c>
      <c r="K88" s="505">
        <f t="shared" si="30"/>
        <v>616</v>
      </c>
      <c r="L88" s="506">
        <f t="shared" si="31"/>
        <v>2522</v>
      </c>
      <c r="M88" s="506">
        <v>2000</v>
      </c>
      <c r="N88" s="506">
        <f t="shared" si="32"/>
        <v>4522</v>
      </c>
      <c r="O88" s="453">
        <v>5</v>
      </c>
    </row>
    <row r="89" spans="1:15" ht="14.25" customHeight="1" thickBot="1">
      <c r="A89" s="430" t="s">
        <v>616</v>
      </c>
      <c r="B89" s="447" t="s">
        <v>677</v>
      </c>
      <c r="C89" s="492"/>
      <c r="D89" s="492"/>
      <c r="E89" s="492">
        <f t="shared" si="27"/>
        <v>0</v>
      </c>
      <c r="F89" s="492"/>
      <c r="G89" s="492"/>
      <c r="H89" s="492">
        <v>122</v>
      </c>
      <c r="I89" s="417"/>
      <c r="J89" s="507">
        <f t="shared" si="29"/>
        <v>122</v>
      </c>
      <c r="K89" s="508">
        <f t="shared" si="30"/>
        <v>122</v>
      </c>
      <c r="L89" s="509">
        <f t="shared" si="31"/>
        <v>122</v>
      </c>
      <c r="M89" s="509"/>
      <c r="N89" s="509">
        <f t="shared" si="32"/>
        <v>122</v>
      </c>
      <c r="O89" s="454"/>
    </row>
    <row r="90" spans="1:15" ht="14.25" customHeight="1" thickBot="1">
      <c r="A90" s="409"/>
      <c r="B90" s="439" t="s">
        <v>413</v>
      </c>
      <c r="C90" s="490">
        <f aca="true" t="shared" si="36" ref="C90:O90">SUM(C86:C89)</f>
        <v>37713.289000000004</v>
      </c>
      <c r="D90" s="490">
        <f t="shared" si="36"/>
        <v>36651.935999999994</v>
      </c>
      <c r="E90" s="490">
        <f t="shared" si="36"/>
        <v>74365.22499999999</v>
      </c>
      <c r="F90" s="490">
        <f t="shared" si="36"/>
        <v>15437.394</v>
      </c>
      <c r="G90" s="490">
        <f t="shared" si="36"/>
        <v>393.076</v>
      </c>
      <c r="H90" s="490">
        <f t="shared" si="36"/>
        <v>26449.925</v>
      </c>
      <c r="I90" s="411">
        <f t="shared" si="36"/>
        <v>0</v>
      </c>
      <c r="J90" s="510">
        <f t="shared" si="36"/>
        <v>26449.925</v>
      </c>
      <c r="K90" s="510">
        <f t="shared" si="36"/>
        <v>42280.395000000004</v>
      </c>
      <c r="L90" s="511">
        <f t="shared" si="36"/>
        <v>116645.62</v>
      </c>
      <c r="M90" s="511">
        <f t="shared" si="36"/>
        <v>20298</v>
      </c>
      <c r="N90" s="511">
        <f t="shared" si="36"/>
        <v>136943.62</v>
      </c>
      <c r="O90" s="455">
        <f t="shared" si="36"/>
        <v>120.25</v>
      </c>
    </row>
    <row r="91" spans="1:15" ht="14.25" customHeight="1">
      <c r="A91" s="414"/>
      <c r="B91" s="440" t="s">
        <v>640</v>
      </c>
      <c r="C91" s="487">
        <f>'EU '!C159</f>
        <v>4367.603</v>
      </c>
      <c r="D91" s="487">
        <f>'EU '!D159</f>
        <v>13198.8</v>
      </c>
      <c r="E91" s="487">
        <f t="shared" si="27"/>
        <v>17566.403</v>
      </c>
      <c r="F91" s="487">
        <f>'EU '!E159</f>
        <v>4101.652</v>
      </c>
      <c r="G91" s="487">
        <f>'EU '!F159</f>
        <v>0.9670000000000001</v>
      </c>
      <c r="H91" s="487">
        <f>'EU '!G159</f>
        <v>39194.161</v>
      </c>
      <c r="I91" s="415"/>
      <c r="J91" s="503">
        <f>SUM(H91:I91)</f>
        <v>39194.161</v>
      </c>
      <c r="K91" s="503">
        <f t="shared" si="30"/>
        <v>43296.78</v>
      </c>
      <c r="L91" s="503">
        <f t="shared" si="31"/>
        <v>60863.183</v>
      </c>
      <c r="M91" s="503"/>
      <c r="N91" s="503">
        <f t="shared" si="32"/>
        <v>60863.183</v>
      </c>
      <c r="O91" s="457">
        <f>'EU '!J159</f>
        <v>29.85</v>
      </c>
    </row>
    <row r="92" spans="1:15" ht="14.25" customHeight="1" hidden="1">
      <c r="A92" s="434" t="s">
        <v>617</v>
      </c>
      <c r="B92" s="449" t="s">
        <v>618</v>
      </c>
      <c r="C92" s="499"/>
      <c r="D92" s="499"/>
      <c r="E92" s="499">
        <f t="shared" si="27"/>
        <v>0</v>
      </c>
      <c r="F92" s="499"/>
      <c r="G92" s="499"/>
      <c r="H92" s="499"/>
      <c r="I92" s="435"/>
      <c r="J92" s="504">
        <f t="shared" si="29"/>
        <v>0</v>
      </c>
      <c r="K92" s="505">
        <f t="shared" si="30"/>
        <v>0</v>
      </c>
      <c r="L92" s="506">
        <f t="shared" si="31"/>
        <v>0</v>
      </c>
      <c r="M92" s="506"/>
      <c r="N92" s="506">
        <f t="shared" si="32"/>
        <v>0</v>
      </c>
      <c r="O92" s="453"/>
    </row>
    <row r="93" spans="1:15" ht="14.25" customHeight="1">
      <c r="A93" s="432" t="s">
        <v>619</v>
      </c>
      <c r="B93" s="448" t="s">
        <v>620</v>
      </c>
      <c r="C93" s="498">
        <v>1</v>
      </c>
      <c r="D93" s="498"/>
      <c r="E93" s="498">
        <f t="shared" si="27"/>
        <v>1</v>
      </c>
      <c r="F93" s="498"/>
      <c r="G93" s="498"/>
      <c r="H93" s="498">
        <v>2</v>
      </c>
      <c r="I93" s="433"/>
      <c r="J93" s="504">
        <f t="shared" si="29"/>
        <v>2</v>
      </c>
      <c r="K93" s="505">
        <f t="shared" si="30"/>
        <v>2</v>
      </c>
      <c r="L93" s="506">
        <f t="shared" si="31"/>
        <v>3</v>
      </c>
      <c r="M93" s="506"/>
      <c r="N93" s="506">
        <f t="shared" si="32"/>
        <v>3</v>
      </c>
      <c r="O93" s="453"/>
    </row>
    <row r="94" spans="1:15" ht="14.25" customHeight="1">
      <c r="A94" s="432" t="s">
        <v>621</v>
      </c>
      <c r="B94" s="448" t="s">
        <v>622</v>
      </c>
      <c r="C94" s="498">
        <v>11</v>
      </c>
      <c r="D94" s="498"/>
      <c r="E94" s="498">
        <f t="shared" si="27"/>
        <v>11</v>
      </c>
      <c r="F94" s="498">
        <v>4</v>
      </c>
      <c r="G94" s="498"/>
      <c r="H94" s="498">
        <v>35</v>
      </c>
      <c r="I94" s="433"/>
      <c r="J94" s="504">
        <f t="shared" si="29"/>
        <v>35</v>
      </c>
      <c r="K94" s="505">
        <f t="shared" si="30"/>
        <v>39</v>
      </c>
      <c r="L94" s="506">
        <f t="shared" si="31"/>
        <v>50</v>
      </c>
      <c r="M94" s="506"/>
      <c r="N94" s="506">
        <f t="shared" si="32"/>
        <v>50</v>
      </c>
      <c r="O94" s="453"/>
    </row>
    <row r="95" spans="1:15" ht="14.25" customHeight="1" thickBot="1">
      <c r="A95" s="407" t="s">
        <v>623</v>
      </c>
      <c r="B95" s="438" t="s">
        <v>201</v>
      </c>
      <c r="C95" s="489">
        <v>29145</v>
      </c>
      <c r="D95" s="489">
        <v>25329</v>
      </c>
      <c r="E95" s="489">
        <f t="shared" si="27"/>
        <v>54474</v>
      </c>
      <c r="F95" s="489">
        <v>15312</v>
      </c>
      <c r="G95" s="489">
        <v>292</v>
      </c>
      <c r="H95" s="489">
        <v>155684</v>
      </c>
      <c r="I95" s="408"/>
      <c r="J95" s="507">
        <f t="shared" si="29"/>
        <v>155684</v>
      </c>
      <c r="K95" s="508">
        <f t="shared" si="30"/>
        <v>171288</v>
      </c>
      <c r="L95" s="509">
        <f t="shared" si="31"/>
        <v>225762</v>
      </c>
      <c r="M95" s="509">
        <v>0</v>
      </c>
      <c r="N95" s="509">
        <f t="shared" si="32"/>
        <v>225762</v>
      </c>
      <c r="O95" s="454">
        <v>83</v>
      </c>
    </row>
    <row r="96" spans="1:15" ht="14.25" customHeight="1" thickBot="1">
      <c r="A96" s="409"/>
      <c r="B96" s="439" t="s">
        <v>561</v>
      </c>
      <c r="C96" s="490">
        <f aca="true" t="shared" si="37" ref="C96:O96">SUM(C91:C95)</f>
        <v>33524.603</v>
      </c>
      <c r="D96" s="490">
        <f t="shared" si="37"/>
        <v>38527.8</v>
      </c>
      <c r="E96" s="490">
        <f t="shared" si="37"/>
        <v>72052.40299999999</v>
      </c>
      <c r="F96" s="490">
        <f t="shared" si="37"/>
        <v>19417.652000000002</v>
      </c>
      <c r="G96" s="490">
        <f t="shared" si="37"/>
        <v>292.967</v>
      </c>
      <c r="H96" s="490">
        <f t="shared" si="37"/>
        <v>194915.161</v>
      </c>
      <c r="I96" s="411">
        <f t="shared" si="37"/>
        <v>0</v>
      </c>
      <c r="J96" s="510">
        <f t="shared" si="37"/>
        <v>194915.161</v>
      </c>
      <c r="K96" s="510">
        <f t="shared" si="37"/>
        <v>214625.78</v>
      </c>
      <c r="L96" s="511">
        <f t="shared" si="37"/>
        <v>286678.183</v>
      </c>
      <c r="M96" s="511">
        <f t="shared" si="37"/>
        <v>0</v>
      </c>
      <c r="N96" s="511">
        <f t="shared" si="37"/>
        <v>286678.183</v>
      </c>
      <c r="O96" s="455">
        <f t="shared" si="37"/>
        <v>112.85</v>
      </c>
    </row>
    <row r="97" spans="1:15" ht="14.25" customHeight="1">
      <c r="A97" s="412" t="s">
        <v>391</v>
      </c>
      <c r="B97" s="441" t="s">
        <v>392</v>
      </c>
      <c r="C97" s="491"/>
      <c r="D97" s="491">
        <v>70</v>
      </c>
      <c r="E97" s="491">
        <f t="shared" si="27"/>
        <v>70</v>
      </c>
      <c r="F97" s="491"/>
      <c r="G97" s="491"/>
      <c r="H97" s="491">
        <v>8</v>
      </c>
      <c r="I97" s="413"/>
      <c r="J97" s="505">
        <f>SUM(H97:I97)</f>
        <v>8</v>
      </c>
      <c r="K97" s="505">
        <f>SUM(F97,G97,J97)</f>
        <v>8</v>
      </c>
      <c r="L97" s="506">
        <f>SUM(E97,K97)</f>
        <v>78</v>
      </c>
      <c r="M97" s="506"/>
      <c r="N97" s="506">
        <f>SUM(L97,M97)</f>
        <v>78</v>
      </c>
      <c r="O97" s="453"/>
    </row>
    <row r="98" spans="1:15" ht="14.25" customHeight="1" thickBot="1">
      <c r="A98" s="407" t="s">
        <v>162</v>
      </c>
      <c r="B98" s="438" t="s">
        <v>163</v>
      </c>
      <c r="C98" s="489">
        <v>1322</v>
      </c>
      <c r="D98" s="489">
        <v>890</v>
      </c>
      <c r="E98" s="489">
        <f t="shared" si="27"/>
        <v>2212</v>
      </c>
      <c r="F98" s="489">
        <v>704</v>
      </c>
      <c r="G98" s="489">
        <v>13</v>
      </c>
      <c r="H98" s="489">
        <v>1476</v>
      </c>
      <c r="I98" s="408"/>
      <c r="J98" s="507">
        <f>SUM(H98:I98)</f>
        <v>1476</v>
      </c>
      <c r="K98" s="508">
        <f>SUM(F98,G98,J98)</f>
        <v>2193</v>
      </c>
      <c r="L98" s="509">
        <f>SUM(E98,K98)</f>
        <v>4405</v>
      </c>
      <c r="M98" s="509">
        <v>760</v>
      </c>
      <c r="N98" s="509">
        <f>SUM(L98,M98)</f>
        <v>5165</v>
      </c>
      <c r="O98" s="454">
        <v>4.92</v>
      </c>
    </row>
    <row r="99" spans="1:15" ht="14.25" customHeight="1" thickBot="1">
      <c r="A99" s="409"/>
      <c r="B99" s="439" t="s">
        <v>207</v>
      </c>
      <c r="C99" s="490">
        <f>SUM(C97:C98)</f>
        <v>1322</v>
      </c>
      <c r="D99" s="490">
        <f aca="true" t="shared" si="38" ref="D99:O99">SUM(D97:D98)</f>
        <v>960</v>
      </c>
      <c r="E99" s="490">
        <f t="shared" si="38"/>
        <v>2282</v>
      </c>
      <c r="F99" s="490">
        <f t="shared" si="38"/>
        <v>704</v>
      </c>
      <c r="G99" s="490">
        <f t="shared" si="38"/>
        <v>13</v>
      </c>
      <c r="H99" s="490">
        <f t="shared" si="38"/>
        <v>1484</v>
      </c>
      <c r="I99" s="411">
        <f t="shared" si="38"/>
        <v>0</v>
      </c>
      <c r="J99" s="510">
        <f t="shared" si="38"/>
        <v>1484</v>
      </c>
      <c r="K99" s="510">
        <f t="shared" si="38"/>
        <v>2201</v>
      </c>
      <c r="L99" s="511">
        <f t="shared" si="38"/>
        <v>4483</v>
      </c>
      <c r="M99" s="511">
        <f t="shared" si="38"/>
        <v>760</v>
      </c>
      <c r="N99" s="511">
        <f t="shared" si="38"/>
        <v>5243</v>
      </c>
      <c r="O99" s="455">
        <f t="shared" si="38"/>
        <v>4.92</v>
      </c>
    </row>
    <row r="100" spans="1:15" ht="14.25" customHeight="1" thickBot="1">
      <c r="A100" s="436" t="s">
        <v>164</v>
      </c>
      <c r="B100" s="450" t="s">
        <v>624</v>
      </c>
      <c r="C100" s="500">
        <v>2390</v>
      </c>
      <c r="D100" s="500">
        <v>383</v>
      </c>
      <c r="E100" s="500">
        <f>SUM(C100:D100)</f>
        <v>2773</v>
      </c>
      <c r="F100" s="500">
        <v>827</v>
      </c>
      <c r="G100" s="500">
        <v>24</v>
      </c>
      <c r="H100" s="500">
        <v>8927</v>
      </c>
      <c r="I100" s="424"/>
      <c r="J100" s="510">
        <f>SUM(H100:I100)</f>
        <v>8927</v>
      </c>
      <c r="K100" s="510">
        <f>SUM(F100,G100,J100)</f>
        <v>9778</v>
      </c>
      <c r="L100" s="511">
        <f>SUM(E100,K100)</f>
        <v>12551</v>
      </c>
      <c r="M100" s="511">
        <v>600</v>
      </c>
      <c r="N100" s="511">
        <f>SUM(L100,M100)</f>
        <v>13151</v>
      </c>
      <c r="O100" s="455">
        <v>6</v>
      </c>
    </row>
    <row r="101" spans="1:19" s="131" customFormat="1" ht="13.5" thickBot="1">
      <c r="A101" s="458"/>
      <c r="B101" s="459" t="s">
        <v>165</v>
      </c>
      <c r="C101" s="501">
        <f>SUM(C11+C17+C20+C23+C32+C45+C54+C58+C70+C82+C85+C90+C96+C99+C100)</f>
        <v>319635.60500000004</v>
      </c>
      <c r="D101" s="501">
        <f aca="true" t="shared" si="39" ref="D101:O101">SUM(D11+D17+D20+D23+D32+D45+D54+D58+D70+D82+D85+D90+D96+D99+D100)</f>
        <v>304172.546</v>
      </c>
      <c r="E101" s="501">
        <f t="shared" si="39"/>
        <v>623808.1510000001</v>
      </c>
      <c r="F101" s="501">
        <f t="shared" si="39"/>
        <v>150993.99599999998</v>
      </c>
      <c r="G101" s="501">
        <f t="shared" si="39"/>
        <v>3980.433</v>
      </c>
      <c r="H101" s="501">
        <f t="shared" si="39"/>
        <v>874349.6109999999</v>
      </c>
      <c r="I101" s="460">
        <f t="shared" si="39"/>
        <v>0</v>
      </c>
      <c r="J101" s="513">
        <f t="shared" si="39"/>
        <v>874349.6109999999</v>
      </c>
      <c r="K101" s="513">
        <f t="shared" si="39"/>
        <v>1029324.04</v>
      </c>
      <c r="L101" s="514">
        <f>SUM(L11+L17+L20+L23+L32+L45+L54+L58+L70+L82+L85+L90+L96+L99+L100)</f>
        <v>1653132.1909999999</v>
      </c>
      <c r="M101" s="514">
        <f t="shared" si="39"/>
        <v>111391</v>
      </c>
      <c r="N101" s="514">
        <f t="shared" si="39"/>
        <v>1764523.1909999999</v>
      </c>
      <c r="O101" s="461">
        <f t="shared" si="39"/>
        <v>1058.07</v>
      </c>
      <c r="P101"/>
      <c r="Q101"/>
      <c r="R101"/>
      <c r="S101"/>
    </row>
    <row r="104" ht="12.75">
      <c r="L104" s="518"/>
    </row>
  </sheetData>
  <sheetProtection/>
  <printOptions/>
  <pageMargins left="0" right="0" top="0.5905511811023623" bottom="0" header="0.5118110236220472" footer="0.5118110236220472"/>
  <pageSetup fitToHeight="1" fitToWidth="1" horizontalDpi="600" verticalDpi="600" orientation="portrait" paperSize="9" scale="5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234"/>
  <sheetViews>
    <sheetView zoomScale="80" zoomScaleNormal="80" zoomScalePageLayoutView="0" workbookViewId="0" topLeftCell="A25">
      <selection activeCell="H40" sqref="H40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7.8515625" style="1" customWidth="1"/>
    <col min="4" max="4" width="14.28125" style="1" customWidth="1"/>
    <col min="5" max="5" width="16.421875" style="1" customWidth="1"/>
    <col min="6" max="6" width="15.00390625" style="1" customWidth="1"/>
    <col min="7" max="7" width="13.7109375" style="1" customWidth="1"/>
    <col min="8" max="8" width="15.00390625" style="1" customWidth="1"/>
    <col min="9" max="9" width="14.140625" style="1" customWidth="1"/>
    <col min="10" max="16384" width="9.140625" style="1" customWidth="1"/>
  </cols>
  <sheetData>
    <row r="1" spans="8:9" ht="15.75">
      <c r="H1" s="2" t="s">
        <v>115</v>
      </c>
      <c r="I1" s="25"/>
    </row>
    <row r="2" ht="15.75">
      <c r="B2" s="3" t="s">
        <v>24</v>
      </c>
    </row>
    <row r="3" ht="13.5" thickBot="1">
      <c r="H3" s="4" t="s">
        <v>1</v>
      </c>
    </row>
    <row r="4" spans="2:11" ht="43.5" customHeight="1" thickBot="1">
      <c r="B4" s="5" t="s">
        <v>3</v>
      </c>
      <c r="C4" s="181" t="s">
        <v>18</v>
      </c>
      <c r="D4" s="182" t="s">
        <v>204</v>
      </c>
      <c r="E4" s="6" t="s">
        <v>396</v>
      </c>
      <c r="F4" s="57" t="s">
        <v>185</v>
      </c>
      <c r="G4" s="5" t="s">
        <v>25</v>
      </c>
      <c r="H4" s="5" t="s">
        <v>397</v>
      </c>
      <c r="I4" s="181" t="s">
        <v>398</v>
      </c>
      <c r="J4" s="7"/>
      <c r="K4" s="7"/>
    </row>
    <row r="5" spans="2:9" ht="12.75">
      <c r="B5" s="33"/>
      <c r="C5" s="58"/>
      <c r="D5" s="59"/>
      <c r="E5" s="9">
        <v>1</v>
      </c>
      <c r="F5" s="60">
        <v>2</v>
      </c>
      <c r="G5" s="8">
        <v>3</v>
      </c>
      <c r="H5" s="60">
        <v>4</v>
      </c>
      <c r="I5" s="8">
        <v>5</v>
      </c>
    </row>
    <row r="6" spans="2:11" ht="12.75">
      <c r="B6" s="51" t="s">
        <v>4</v>
      </c>
      <c r="C6" s="161">
        <v>911</v>
      </c>
      <c r="D6" s="61">
        <v>583.56003</v>
      </c>
      <c r="E6" s="61">
        <v>583.56003</v>
      </c>
      <c r="F6" s="150">
        <v>300</v>
      </c>
      <c r="G6" s="152">
        <v>327.989</v>
      </c>
      <c r="H6" s="12">
        <f aca="true" t="shared" si="0" ref="H6:H15">E6+F6-G6</f>
        <v>555.5710300000001</v>
      </c>
      <c r="I6" s="13">
        <f aca="true" t="shared" si="1" ref="I6:I15">H6-E6</f>
        <v>-27.98899999999992</v>
      </c>
      <c r="K6" s="10"/>
    </row>
    <row r="7" spans="2:254" s="41" customFormat="1" ht="12.75">
      <c r="B7" s="158" t="s">
        <v>420</v>
      </c>
      <c r="C7" s="162">
        <v>911</v>
      </c>
      <c r="D7" s="62">
        <v>2.76485</v>
      </c>
      <c r="E7" s="39">
        <v>202.76485</v>
      </c>
      <c r="F7" s="39"/>
      <c r="G7" s="39"/>
      <c r="H7" s="39">
        <f t="shared" si="0"/>
        <v>202.76485</v>
      </c>
      <c r="I7" s="63">
        <f t="shared" si="1"/>
        <v>0</v>
      </c>
      <c r="J7" s="1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2:254" s="41" customFormat="1" ht="12.75">
      <c r="B8" s="158" t="s">
        <v>421</v>
      </c>
      <c r="C8" s="162">
        <v>911</v>
      </c>
      <c r="D8" s="62"/>
      <c r="E8" s="62"/>
      <c r="F8" s="151">
        <v>100</v>
      </c>
      <c r="G8" s="151">
        <v>100</v>
      </c>
      <c r="H8" s="64">
        <f t="shared" si="0"/>
        <v>0</v>
      </c>
      <c r="I8" s="65">
        <f t="shared" si="1"/>
        <v>0</v>
      </c>
      <c r="J8" s="1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2:254" s="41" customFormat="1" ht="12.75">
      <c r="B9" s="158" t="s">
        <v>6</v>
      </c>
      <c r="C9" s="162">
        <v>911</v>
      </c>
      <c r="D9" s="62">
        <v>115.03723</v>
      </c>
      <c r="E9" s="62">
        <v>474.14323</v>
      </c>
      <c r="F9" s="151">
        <v>296.4</v>
      </c>
      <c r="G9" s="39">
        <v>456.988</v>
      </c>
      <c r="H9" s="39">
        <f t="shared" si="0"/>
        <v>313.55523</v>
      </c>
      <c r="I9" s="63">
        <f t="shared" si="1"/>
        <v>-160.58800000000002</v>
      </c>
      <c r="J9" s="1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2:254" s="41" customFormat="1" ht="12.75">
      <c r="B10" s="11" t="s">
        <v>190</v>
      </c>
      <c r="C10" s="162">
        <v>911</v>
      </c>
      <c r="D10" s="62">
        <v>701.5055</v>
      </c>
      <c r="E10" s="62">
        <v>253.6644</v>
      </c>
      <c r="F10" s="151"/>
      <c r="G10" s="39">
        <v>47.337</v>
      </c>
      <c r="H10" s="39">
        <f t="shared" si="0"/>
        <v>206.3274</v>
      </c>
      <c r="I10" s="63">
        <f t="shared" si="1"/>
        <v>-47.33699999999999</v>
      </c>
      <c r="J10" s="1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2:254" s="41" customFormat="1" ht="12.75">
      <c r="B11" s="159" t="s">
        <v>7</v>
      </c>
      <c r="C11" s="162">
        <v>911</v>
      </c>
      <c r="D11" s="62"/>
      <c r="E11" s="62"/>
      <c r="F11" s="151"/>
      <c r="G11" s="39"/>
      <c r="H11" s="39">
        <f t="shared" si="0"/>
        <v>0</v>
      </c>
      <c r="I11" s="63">
        <f t="shared" si="1"/>
        <v>0</v>
      </c>
      <c r="J11" s="1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2:254" s="41" customFormat="1" ht="12.75">
      <c r="B12" s="159" t="s">
        <v>422</v>
      </c>
      <c r="C12" s="162">
        <v>911</v>
      </c>
      <c r="D12" s="62">
        <f>1052.681</f>
        <v>1052.681</v>
      </c>
      <c r="E12" s="62">
        <v>496.459</v>
      </c>
      <c r="F12" s="62">
        <v>800</v>
      </c>
      <c r="G12" s="39">
        <v>848.014</v>
      </c>
      <c r="H12" s="39">
        <f>E12+F12-G12</f>
        <v>448.44500000000005</v>
      </c>
      <c r="I12" s="63">
        <f t="shared" si="1"/>
        <v>-48.01399999999995</v>
      </c>
      <c r="J12" s="1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2:254" s="41" customFormat="1" ht="12.75">
      <c r="B13" s="159" t="s">
        <v>191</v>
      </c>
      <c r="C13" s="162">
        <v>911</v>
      </c>
      <c r="D13" s="62"/>
      <c r="E13" s="62"/>
      <c r="F13" s="151"/>
      <c r="G13" s="39"/>
      <c r="H13" s="39">
        <f>E13+F13-G13</f>
        <v>0</v>
      </c>
      <c r="I13" s="63">
        <f>H13-E13</f>
        <v>0</v>
      </c>
      <c r="J13" s="1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2:254" s="41" customFormat="1" ht="12.75">
      <c r="B14" s="158" t="s">
        <v>8</v>
      </c>
      <c r="C14" s="162">
        <v>911</v>
      </c>
      <c r="D14" s="62">
        <v>209.37798</v>
      </c>
      <c r="E14" s="62">
        <v>107.16398</v>
      </c>
      <c r="F14" s="151">
        <v>33.96</v>
      </c>
      <c r="G14" s="39">
        <v>53.499</v>
      </c>
      <c r="H14" s="39">
        <f t="shared" si="0"/>
        <v>87.62498</v>
      </c>
      <c r="I14" s="63">
        <f t="shared" si="1"/>
        <v>-19.539</v>
      </c>
      <c r="J14" s="1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2:254" s="41" customFormat="1" ht="13.5" thickBot="1">
      <c r="B15" s="158" t="s">
        <v>9</v>
      </c>
      <c r="C15" s="162">
        <v>911</v>
      </c>
      <c r="D15" s="62">
        <v>90.352</v>
      </c>
      <c r="E15" s="62">
        <v>90.352</v>
      </c>
      <c r="F15" s="40"/>
      <c r="G15" s="40"/>
      <c r="H15" s="40">
        <f t="shared" si="0"/>
        <v>90.352</v>
      </c>
      <c r="I15" s="63">
        <f t="shared" si="1"/>
        <v>0</v>
      </c>
      <c r="J15" s="1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2:254" s="41" customFormat="1" ht="16.5" customHeight="1" thickBot="1">
      <c r="B16" s="160" t="s">
        <v>16</v>
      </c>
      <c r="C16" s="67">
        <v>911</v>
      </c>
      <c r="D16" s="68">
        <f aca="true" t="shared" si="2" ref="D16:I16">SUM(D6:D15)</f>
        <v>2755.27859</v>
      </c>
      <c r="E16" s="68">
        <f t="shared" si="2"/>
        <v>2208.10749</v>
      </c>
      <c r="F16" s="69">
        <f t="shared" si="2"/>
        <v>1530.3600000000001</v>
      </c>
      <c r="G16" s="69">
        <f t="shared" si="2"/>
        <v>1833.827</v>
      </c>
      <c r="H16" s="69">
        <f t="shared" si="2"/>
        <v>1904.6404900000005</v>
      </c>
      <c r="I16" s="69">
        <f t="shared" si="2"/>
        <v>-303.46699999999987</v>
      </c>
      <c r="J16" s="1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ht="13.5" thickBot="1">
      <c r="K17" s="10"/>
    </row>
    <row r="18" spans="2:11" ht="43.5" customHeight="1" thickBot="1">
      <c r="B18" s="5" t="s">
        <v>21</v>
      </c>
      <c r="C18" s="181" t="s">
        <v>18</v>
      </c>
      <c r="D18" s="182" t="s">
        <v>204</v>
      </c>
      <c r="E18" s="6" t="s">
        <v>396</v>
      </c>
      <c r="F18" s="57" t="s">
        <v>185</v>
      </c>
      <c r="G18" s="5" t="s">
        <v>25</v>
      </c>
      <c r="H18" s="5" t="s">
        <v>397</v>
      </c>
      <c r="I18" s="181" t="s">
        <v>398</v>
      </c>
      <c r="K18" s="10"/>
    </row>
    <row r="19" spans="2:9" ht="12.75">
      <c r="B19" s="33"/>
      <c r="C19" s="58"/>
      <c r="D19" s="59"/>
      <c r="E19" s="9">
        <v>1</v>
      </c>
      <c r="F19" s="60">
        <v>2</v>
      </c>
      <c r="G19" s="8">
        <v>3</v>
      </c>
      <c r="H19" s="60">
        <v>4</v>
      </c>
      <c r="I19" s="8">
        <v>5</v>
      </c>
    </row>
    <row r="20" spans="2:11" ht="12.75">
      <c r="B20" s="51" t="s">
        <v>4</v>
      </c>
      <c r="C20" s="161">
        <v>912</v>
      </c>
      <c r="D20" s="61">
        <v>798.457</v>
      </c>
      <c r="E20" s="12">
        <v>1205.567</v>
      </c>
      <c r="F20" s="12">
        <v>394.796</v>
      </c>
      <c r="G20" s="12">
        <v>266.919</v>
      </c>
      <c r="H20" s="12">
        <f>E20+F20-G20</f>
        <v>1333.444</v>
      </c>
      <c r="I20" s="13">
        <f aca="true" t="shared" si="3" ref="I20:I29">H20-E20</f>
        <v>127.87699999999995</v>
      </c>
      <c r="K20" s="10"/>
    </row>
    <row r="21" spans="2:254" s="41" customFormat="1" ht="12.75">
      <c r="B21" s="158" t="s">
        <v>420</v>
      </c>
      <c r="C21" s="162">
        <v>912</v>
      </c>
      <c r="D21" s="62">
        <v>758.05923</v>
      </c>
      <c r="E21" s="70">
        <v>184.11021</v>
      </c>
      <c r="F21" s="39">
        <v>907.73</v>
      </c>
      <c r="G21" s="39">
        <v>1019.91318</v>
      </c>
      <c r="H21" s="39">
        <f aca="true" t="shared" si="4" ref="H21:H28">E21+F21-G21</f>
        <v>71.92703000000006</v>
      </c>
      <c r="I21" s="63">
        <f t="shared" si="3"/>
        <v>-112.18317999999994</v>
      </c>
      <c r="J21" s="1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2:254" s="41" customFormat="1" ht="12.75">
      <c r="B22" s="158" t="s">
        <v>421</v>
      </c>
      <c r="C22" s="162">
        <v>912</v>
      </c>
      <c r="D22" s="62">
        <v>48.61662</v>
      </c>
      <c r="E22" s="39">
        <v>79.50162</v>
      </c>
      <c r="F22" s="39">
        <v>89.58</v>
      </c>
      <c r="G22" s="39">
        <v>110.575</v>
      </c>
      <c r="H22" s="39">
        <f t="shared" si="4"/>
        <v>58.506619999999984</v>
      </c>
      <c r="I22" s="63">
        <f t="shared" si="3"/>
        <v>-20.99500000000002</v>
      </c>
      <c r="J22" s="1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2:254" s="41" customFormat="1" ht="12.75">
      <c r="B23" s="158" t="s">
        <v>6</v>
      </c>
      <c r="C23" s="162">
        <v>912</v>
      </c>
      <c r="D23" s="62">
        <v>330.9508</v>
      </c>
      <c r="E23" s="39">
        <v>251.88313</v>
      </c>
      <c r="F23" s="39">
        <v>299.637</v>
      </c>
      <c r="G23" s="39">
        <v>484.284</v>
      </c>
      <c r="H23" s="39">
        <f t="shared" si="4"/>
        <v>67.23613</v>
      </c>
      <c r="I23" s="63">
        <f t="shared" si="3"/>
        <v>-184.647</v>
      </c>
      <c r="J23" s="1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2:254" s="41" customFormat="1" ht="12.75">
      <c r="B24" s="11" t="s">
        <v>190</v>
      </c>
      <c r="C24" s="162">
        <v>912</v>
      </c>
      <c r="D24" s="62">
        <v>391.82817</v>
      </c>
      <c r="E24" s="39">
        <v>298.58777</v>
      </c>
      <c r="F24" s="39">
        <v>395.775</v>
      </c>
      <c r="G24" s="39">
        <v>446.0339</v>
      </c>
      <c r="H24" s="39">
        <f t="shared" si="4"/>
        <v>248.32886999999994</v>
      </c>
      <c r="I24" s="63">
        <f t="shared" si="3"/>
        <v>-50.25890000000004</v>
      </c>
      <c r="J24" s="1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2:254" s="41" customFormat="1" ht="12.75">
      <c r="B25" s="159" t="s">
        <v>7</v>
      </c>
      <c r="C25" s="162">
        <v>912</v>
      </c>
      <c r="D25" s="62"/>
      <c r="E25" s="39"/>
      <c r="F25" s="39"/>
      <c r="G25" s="39"/>
      <c r="H25" s="39">
        <f t="shared" si="4"/>
        <v>0</v>
      </c>
      <c r="I25" s="63">
        <f t="shared" si="3"/>
        <v>0</v>
      </c>
      <c r="J25" s="1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2:254" s="41" customFormat="1" ht="12.75">
      <c r="B26" s="159" t="s">
        <v>422</v>
      </c>
      <c r="C26" s="162">
        <v>912</v>
      </c>
      <c r="D26" s="62">
        <v>159.01069</v>
      </c>
      <c r="E26" s="39">
        <v>378.56579</v>
      </c>
      <c r="F26" s="39">
        <v>353.188</v>
      </c>
      <c r="G26" s="39">
        <v>676.30795</v>
      </c>
      <c r="H26" s="39">
        <f>E26+F26-G26</f>
        <v>55.445839999999976</v>
      </c>
      <c r="I26" s="63">
        <f t="shared" si="3"/>
        <v>-323.11995</v>
      </c>
      <c r="J26" s="1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2:254" s="41" customFormat="1" ht="12.75">
      <c r="B27" s="159" t="s">
        <v>191</v>
      </c>
      <c r="C27" s="162">
        <v>912</v>
      </c>
      <c r="D27" s="62">
        <v>525.8278</v>
      </c>
      <c r="E27" s="39">
        <v>525.8278</v>
      </c>
      <c r="F27" s="39">
        <v>406.703</v>
      </c>
      <c r="G27" s="39">
        <v>608.773</v>
      </c>
      <c r="H27" s="39">
        <f>E27+F27-G27</f>
        <v>323.7578</v>
      </c>
      <c r="I27" s="63">
        <f>H27-E27</f>
        <v>-202.07000000000005</v>
      </c>
      <c r="J27" s="1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2:254" s="41" customFormat="1" ht="12.75">
      <c r="B28" s="158" t="s">
        <v>8</v>
      </c>
      <c r="C28" s="162">
        <v>912</v>
      </c>
      <c r="D28" s="273">
        <v>46.71209</v>
      </c>
      <c r="E28" s="39">
        <v>58.64909</v>
      </c>
      <c r="F28" s="39">
        <v>13.755</v>
      </c>
      <c r="G28" s="39">
        <v>23.171</v>
      </c>
      <c r="H28" s="39">
        <f t="shared" si="4"/>
        <v>49.23309</v>
      </c>
      <c r="I28" s="63">
        <f t="shared" si="3"/>
        <v>-9.416000000000004</v>
      </c>
      <c r="J28" s="1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2:254" s="41" customFormat="1" ht="13.5" thickBot="1">
      <c r="B29" s="158" t="s">
        <v>9</v>
      </c>
      <c r="C29" s="162">
        <v>912</v>
      </c>
      <c r="D29" s="62">
        <v>62.561</v>
      </c>
      <c r="E29" s="39">
        <v>58.75375</v>
      </c>
      <c r="F29" s="39">
        <v>23.9</v>
      </c>
      <c r="G29" s="39">
        <v>41.27375</v>
      </c>
      <c r="H29" s="40">
        <f>E29+F29-G29</f>
        <v>41.38</v>
      </c>
      <c r="I29" s="63">
        <f t="shared" si="3"/>
        <v>-17.373749999999994</v>
      </c>
      <c r="J29" s="1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2:254" s="41" customFormat="1" ht="13.5" thickBot="1">
      <c r="B30" s="160" t="s">
        <v>16</v>
      </c>
      <c r="C30" s="67">
        <v>912</v>
      </c>
      <c r="D30" s="68">
        <f aca="true" t="shared" si="5" ref="D30:I30">SUM(D20:D29)</f>
        <v>3122.0234000000005</v>
      </c>
      <c r="E30" s="69">
        <f t="shared" si="5"/>
        <v>3041.44616</v>
      </c>
      <c r="F30" s="69">
        <f t="shared" si="5"/>
        <v>2885.0640000000003</v>
      </c>
      <c r="G30" s="69">
        <f t="shared" si="5"/>
        <v>3677.2507799999994</v>
      </c>
      <c r="H30" s="69">
        <f t="shared" si="5"/>
        <v>2249.25938</v>
      </c>
      <c r="I30" s="69">
        <f t="shared" si="5"/>
        <v>-792.1867800000001</v>
      </c>
      <c r="J30" s="1"/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ht="13.5" thickBot="1">
      <c r="K31" s="10"/>
    </row>
    <row r="32" spans="2:11" ht="43.5" customHeight="1" thickBot="1">
      <c r="B32" s="5" t="s">
        <v>395</v>
      </c>
      <c r="C32" s="181" t="s">
        <v>18</v>
      </c>
      <c r="D32" s="182" t="s">
        <v>204</v>
      </c>
      <c r="E32" s="6" t="s">
        <v>396</v>
      </c>
      <c r="F32" s="57" t="s">
        <v>185</v>
      </c>
      <c r="G32" s="5" t="s">
        <v>25</v>
      </c>
      <c r="H32" s="5" t="s">
        <v>397</v>
      </c>
      <c r="I32" s="181" t="s">
        <v>398</v>
      </c>
      <c r="K32" s="10"/>
    </row>
    <row r="33" spans="2:9" ht="12.75">
      <c r="B33" s="33"/>
      <c r="C33" s="58"/>
      <c r="D33" s="59"/>
      <c r="E33" s="9">
        <v>1</v>
      </c>
      <c r="F33" s="60">
        <v>2</v>
      </c>
      <c r="G33" s="8">
        <v>3</v>
      </c>
      <c r="H33" s="60">
        <v>4</v>
      </c>
      <c r="I33" s="8">
        <v>5</v>
      </c>
    </row>
    <row r="34" spans="2:11" ht="12.75">
      <c r="B34" s="51" t="s">
        <v>4</v>
      </c>
      <c r="C34" s="161">
        <v>914</v>
      </c>
      <c r="D34" s="61">
        <f>1951.62841+43095.5129</f>
        <v>45047.14131</v>
      </c>
      <c r="E34" s="12">
        <f>920.7722+60201.35732</f>
        <v>61122.12952</v>
      </c>
      <c r="F34" s="12">
        <f>1761.61122+24643.18794</f>
        <v>26404.79916</v>
      </c>
      <c r="G34" s="12">
        <f>2.5+60201.35732</f>
        <v>60203.85732</v>
      </c>
      <c r="H34" s="12">
        <f aca="true" t="shared" si="6" ref="H34:H43">E34+F34-G34</f>
        <v>27323.071359999994</v>
      </c>
      <c r="I34" s="13">
        <f aca="true" t="shared" si="7" ref="I34:I43">H34-E34</f>
        <v>-33799.05816000001</v>
      </c>
      <c r="K34" s="10"/>
    </row>
    <row r="35" spans="2:254" s="41" customFormat="1" ht="12.75">
      <c r="B35" s="158" t="s">
        <v>420</v>
      </c>
      <c r="C35" s="162">
        <v>914</v>
      </c>
      <c r="D35" s="62">
        <f>226.14784+100335.85547</f>
        <v>100562.00331</v>
      </c>
      <c r="E35" s="70">
        <f>585.57466+86921.33405</f>
        <v>87506.90871</v>
      </c>
      <c r="F35" s="39">
        <f>336.77777+109731.05941</f>
        <v>110067.83718</v>
      </c>
      <c r="G35" s="39">
        <f>402.205+86676.93627</f>
        <v>87079.14127000001</v>
      </c>
      <c r="H35" s="39">
        <f t="shared" si="6"/>
        <v>110495.60462000001</v>
      </c>
      <c r="I35" s="63">
        <f t="shared" si="7"/>
        <v>22988.69591000001</v>
      </c>
      <c r="J35" s="1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2:254" s="41" customFormat="1" ht="12.75">
      <c r="B36" s="158" t="s">
        <v>421</v>
      </c>
      <c r="C36" s="162">
        <v>914</v>
      </c>
      <c r="D36" s="62">
        <v>172.53082</v>
      </c>
      <c r="E36" s="41">
        <v>389.86643</v>
      </c>
      <c r="F36" s="39">
        <v>220.46749</v>
      </c>
      <c r="G36" s="39"/>
      <c r="H36" s="39">
        <f t="shared" si="6"/>
        <v>610.33392</v>
      </c>
      <c r="I36" s="63">
        <f t="shared" si="7"/>
        <v>220.46749000000005</v>
      </c>
      <c r="J36" s="1"/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2:254" s="41" customFormat="1" ht="12.75">
      <c r="B37" s="158" t="s">
        <v>6</v>
      </c>
      <c r="C37" s="162">
        <v>914</v>
      </c>
      <c r="D37" s="62">
        <f>2046.17126+183517.19265</f>
        <v>185563.36391000001</v>
      </c>
      <c r="E37" s="39">
        <f>2146.20074+131398.60286</f>
        <v>133544.8036</v>
      </c>
      <c r="F37" s="39">
        <f>433.03155+12783.55974</f>
        <v>13216.59129</v>
      </c>
      <c r="G37" s="39">
        <f>1073+75502.13785</f>
        <v>76575.13785</v>
      </c>
      <c r="H37" s="39">
        <f t="shared" si="6"/>
        <v>70186.25704000003</v>
      </c>
      <c r="I37" s="63">
        <f t="shared" si="7"/>
        <v>-63358.54655999999</v>
      </c>
      <c r="J37" s="1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2:254" s="41" customFormat="1" ht="12.75">
      <c r="B38" s="11" t="s">
        <v>190</v>
      </c>
      <c r="C38" s="162">
        <v>914</v>
      </c>
      <c r="D38" s="62">
        <f>7641.26274+258.58312</f>
        <v>7899.84586</v>
      </c>
      <c r="E38" s="39">
        <f>9093.91053+435.42489</f>
        <v>9529.33542</v>
      </c>
      <c r="F38" s="39">
        <f>9000+12622.40192</f>
        <v>21622.40192</v>
      </c>
      <c r="G38" s="39">
        <f>9000+330.00311</f>
        <v>9330.00311</v>
      </c>
      <c r="H38" s="39">
        <f t="shared" si="6"/>
        <v>21821.734230000002</v>
      </c>
      <c r="I38" s="63">
        <f t="shared" si="7"/>
        <v>12292.398810000002</v>
      </c>
      <c r="J38" s="1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2:254" s="41" customFormat="1" ht="12.75">
      <c r="B39" s="159" t="s">
        <v>7</v>
      </c>
      <c r="C39" s="162">
        <v>914</v>
      </c>
      <c r="D39" s="66">
        <v>352.6916</v>
      </c>
      <c r="E39" s="40">
        <v>369.96039</v>
      </c>
      <c r="F39" s="70">
        <v>1.57726</v>
      </c>
      <c r="G39" s="70">
        <v>0.54312</v>
      </c>
      <c r="H39" s="39">
        <f t="shared" si="6"/>
        <v>370.99453000000005</v>
      </c>
      <c r="I39" s="63">
        <f t="shared" si="7"/>
        <v>1.0341400000000363</v>
      </c>
      <c r="J39" s="1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2:254" s="41" customFormat="1" ht="12.75">
      <c r="B40" s="159" t="s">
        <v>422</v>
      </c>
      <c r="C40" s="162">
        <v>914</v>
      </c>
      <c r="D40" s="66">
        <f>5126.54318+15491.49534</f>
        <v>20618.03852</v>
      </c>
      <c r="E40" s="40">
        <f>9357.62488+26558.87411</f>
        <v>35916.49899</v>
      </c>
      <c r="F40" s="70">
        <f>282.964+26009.80872</f>
        <v>26292.77272</v>
      </c>
      <c r="G40" s="70">
        <f>4139.55434+25412.08246</f>
        <v>29551.6368</v>
      </c>
      <c r="H40" s="39">
        <f>E40+F40-G40</f>
        <v>32657.63491</v>
      </c>
      <c r="I40" s="63">
        <f t="shared" si="7"/>
        <v>-3258.8640799999994</v>
      </c>
      <c r="J40" s="1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2:254" s="41" customFormat="1" ht="12.75">
      <c r="B41" s="159" t="s">
        <v>191</v>
      </c>
      <c r="C41" s="162">
        <v>914</v>
      </c>
      <c r="D41" s="62">
        <f>1246.509+61572.68143</f>
        <v>62819.190429999995</v>
      </c>
      <c r="E41" s="39">
        <f>1246.509+61572.68143</f>
        <v>62819.190429999995</v>
      </c>
      <c r="F41" s="39">
        <f>266.76945+53566.16505</f>
        <v>53832.9345</v>
      </c>
      <c r="G41" s="39">
        <f>846.509+45813.13804</f>
        <v>46659.647039999996</v>
      </c>
      <c r="H41" s="39">
        <f>E41+F41-G41</f>
        <v>69992.47789</v>
      </c>
      <c r="I41" s="63">
        <f>H41-E41</f>
        <v>7173.28746</v>
      </c>
      <c r="J41" s="1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2:254" s="41" customFormat="1" ht="12.75">
      <c r="B42" s="158" t="s">
        <v>8</v>
      </c>
      <c r="C42" s="162">
        <v>914</v>
      </c>
      <c r="D42" s="62">
        <v>1211.14413</v>
      </c>
      <c r="E42" s="39">
        <v>1649.84776</v>
      </c>
      <c r="F42" s="39">
        <f>113.02031+67.48332</f>
        <v>180.50363</v>
      </c>
      <c r="G42" s="39">
        <f>42.81583+51.48332</f>
        <v>94.29915</v>
      </c>
      <c r="H42" s="39">
        <f t="shared" si="6"/>
        <v>1736.05224</v>
      </c>
      <c r="I42" s="63">
        <f t="shared" si="7"/>
        <v>86.20447999999988</v>
      </c>
      <c r="J42" s="1"/>
      <c r="K42" s="1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2:254" s="41" customFormat="1" ht="13.5" thickBot="1">
      <c r="B43" s="158" t="s">
        <v>9</v>
      </c>
      <c r="C43" s="162">
        <v>914</v>
      </c>
      <c r="D43" s="62">
        <v>23.19766</v>
      </c>
      <c r="E43" s="39">
        <v>23.19766</v>
      </c>
      <c r="F43" s="39"/>
      <c r="G43" s="39"/>
      <c r="H43" s="40">
        <f t="shared" si="6"/>
        <v>23.19766</v>
      </c>
      <c r="I43" s="63">
        <f t="shared" si="7"/>
        <v>0</v>
      </c>
      <c r="J43" s="1"/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2:254" s="41" customFormat="1" ht="13.5" thickBot="1">
      <c r="B44" s="160" t="s">
        <v>16</v>
      </c>
      <c r="C44" s="67">
        <v>914</v>
      </c>
      <c r="D44" s="68">
        <f aca="true" t="shared" si="8" ref="D44:I44">SUM(D34:D43)</f>
        <v>424269.14755000005</v>
      </c>
      <c r="E44" s="69">
        <f t="shared" si="8"/>
        <v>392871.73891</v>
      </c>
      <c r="F44" s="69">
        <f t="shared" si="8"/>
        <v>251839.88515000002</v>
      </c>
      <c r="G44" s="69">
        <f t="shared" si="8"/>
        <v>309494.26566</v>
      </c>
      <c r="H44" s="69">
        <f t="shared" si="8"/>
        <v>335217.3584</v>
      </c>
      <c r="I44" s="69">
        <f t="shared" si="8"/>
        <v>-57654.38050999998</v>
      </c>
      <c r="J44" s="1"/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ht="13.5" thickBot="1">
      <c r="K45" s="10"/>
    </row>
    <row r="46" spans="2:11" ht="43.5" customHeight="1" thickBot="1">
      <c r="B46" s="5" t="s">
        <v>13</v>
      </c>
      <c r="C46" s="181" t="s">
        <v>18</v>
      </c>
      <c r="D46" s="182" t="s">
        <v>204</v>
      </c>
      <c r="E46" s="6" t="s">
        <v>396</v>
      </c>
      <c r="F46" s="57" t="s">
        <v>185</v>
      </c>
      <c r="G46" s="5" t="s">
        <v>25</v>
      </c>
      <c r="H46" s="5" t="s">
        <v>397</v>
      </c>
      <c r="I46" s="181" t="s">
        <v>398</v>
      </c>
      <c r="K46" s="10"/>
    </row>
    <row r="47" spans="2:9" ht="12.75">
      <c r="B47" s="33"/>
      <c r="C47" s="58"/>
      <c r="D47" s="59"/>
      <c r="E47" s="9">
        <v>1</v>
      </c>
      <c r="F47" s="60">
        <v>2</v>
      </c>
      <c r="G47" s="8">
        <v>3</v>
      </c>
      <c r="H47" s="60">
        <v>4</v>
      </c>
      <c r="I47" s="8">
        <v>5</v>
      </c>
    </row>
    <row r="48" spans="2:11" ht="12.75">
      <c r="B48" s="51" t="s">
        <v>4</v>
      </c>
      <c r="C48" s="161">
        <v>916</v>
      </c>
      <c r="D48" s="61">
        <v>6090.32862</v>
      </c>
      <c r="E48" s="24">
        <v>9414.60954</v>
      </c>
      <c r="F48" s="12">
        <v>5197.92175</v>
      </c>
      <c r="G48" s="12">
        <v>818.2594</v>
      </c>
      <c r="H48" s="12">
        <f aca="true" t="shared" si="9" ref="H48:H57">E48+F48-G48</f>
        <v>13794.271889999998</v>
      </c>
      <c r="I48" s="13">
        <f aca="true" t="shared" si="10" ref="I48:I57">H48-E48</f>
        <v>4379.662349999999</v>
      </c>
      <c r="K48" s="10"/>
    </row>
    <row r="49" spans="2:254" s="41" customFormat="1" ht="12.75">
      <c r="B49" s="158" t="s">
        <v>420</v>
      </c>
      <c r="C49" s="162">
        <v>916</v>
      </c>
      <c r="D49" s="62">
        <v>87.55918</v>
      </c>
      <c r="E49" s="70">
        <v>322.56088</v>
      </c>
      <c r="F49" s="39">
        <v>5422.9056</v>
      </c>
      <c r="G49" s="39">
        <v>5037.07392</v>
      </c>
      <c r="H49" s="39">
        <f t="shared" si="9"/>
        <v>708.3925600000002</v>
      </c>
      <c r="I49" s="63">
        <f t="shared" si="10"/>
        <v>385.83168000000023</v>
      </c>
      <c r="J49" s="1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2:254" s="41" customFormat="1" ht="12.75">
      <c r="B50" s="158" t="s">
        <v>421</v>
      </c>
      <c r="C50" s="162">
        <v>916</v>
      </c>
      <c r="D50" s="62">
        <v>532.07137</v>
      </c>
      <c r="E50" s="70">
        <v>589.09681</v>
      </c>
      <c r="F50" s="39">
        <v>3026.52172</v>
      </c>
      <c r="G50" s="70">
        <v>659.0762</v>
      </c>
      <c r="H50" s="39">
        <f t="shared" si="9"/>
        <v>2956.54233</v>
      </c>
      <c r="I50" s="63">
        <f t="shared" si="10"/>
        <v>2367.44552</v>
      </c>
      <c r="J50" s="1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2:254" s="41" customFormat="1" ht="12.75">
      <c r="B51" s="158" t="s">
        <v>6</v>
      </c>
      <c r="C51" s="162">
        <v>916</v>
      </c>
      <c r="D51" s="62">
        <v>2797.65007</v>
      </c>
      <c r="E51" s="39">
        <v>3340.59376</v>
      </c>
      <c r="F51" s="39">
        <v>3288.90509</v>
      </c>
      <c r="G51" s="39">
        <v>3396.52343</v>
      </c>
      <c r="H51" s="39">
        <f t="shared" si="9"/>
        <v>3232.9754199999998</v>
      </c>
      <c r="I51" s="63">
        <f t="shared" si="10"/>
        <v>-107.61834000000044</v>
      </c>
      <c r="J51" s="1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2:254" s="41" customFormat="1" ht="12.75">
      <c r="B52" s="11" t="s">
        <v>190</v>
      </c>
      <c r="C52" s="162">
        <v>916</v>
      </c>
      <c r="D52" s="62">
        <v>10836.14417</v>
      </c>
      <c r="E52" s="39">
        <v>23358.91253</v>
      </c>
      <c r="F52" s="39">
        <v>31445.46748</v>
      </c>
      <c r="G52" s="39">
        <v>3635.2371</v>
      </c>
      <c r="H52" s="39">
        <f t="shared" si="9"/>
        <v>51169.14291</v>
      </c>
      <c r="I52" s="63">
        <f t="shared" si="10"/>
        <v>27810.23038</v>
      </c>
      <c r="J52" s="1"/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2:254" s="41" customFormat="1" ht="12.75">
      <c r="B53" s="159" t="s">
        <v>7</v>
      </c>
      <c r="C53" s="162">
        <v>916</v>
      </c>
      <c r="D53" s="62">
        <v>454.6041</v>
      </c>
      <c r="E53" s="39">
        <v>454.6041</v>
      </c>
      <c r="F53" s="39"/>
      <c r="G53" s="39"/>
      <c r="H53" s="39">
        <f t="shared" si="9"/>
        <v>454.6041</v>
      </c>
      <c r="I53" s="63">
        <f t="shared" si="10"/>
        <v>0</v>
      </c>
      <c r="J53" s="1"/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2:254" s="41" customFormat="1" ht="12.75">
      <c r="B54" s="159" t="s">
        <v>422</v>
      </c>
      <c r="C54" s="162">
        <v>916</v>
      </c>
      <c r="D54" s="62">
        <v>19186.223</v>
      </c>
      <c r="E54" s="39">
        <v>20788.24381</v>
      </c>
      <c r="F54" s="39">
        <v>11691.94094</v>
      </c>
      <c r="G54" s="39">
        <v>5602.19056</v>
      </c>
      <c r="H54" s="39">
        <f>E54+F54-G54</f>
        <v>26877.99419</v>
      </c>
      <c r="I54" s="63">
        <f t="shared" si="10"/>
        <v>6089.750380000001</v>
      </c>
      <c r="J54" s="1"/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2:254" s="41" customFormat="1" ht="12.75">
      <c r="B55" s="159" t="s">
        <v>191</v>
      </c>
      <c r="C55" s="162">
        <v>916</v>
      </c>
      <c r="D55" s="62">
        <v>11411.08654</v>
      </c>
      <c r="E55" s="39">
        <v>11411.08654</v>
      </c>
      <c r="F55" s="39">
        <v>22110.263</v>
      </c>
      <c r="G55" s="39">
        <v>4269.6876</v>
      </c>
      <c r="H55" s="39">
        <f>E55+F55-G55</f>
        <v>29251.661939999995</v>
      </c>
      <c r="I55" s="63">
        <f>H55-E55</f>
        <v>17840.575399999994</v>
      </c>
      <c r="J55" s="1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2:254" s="41" customFormat="1" ht="12.75">
      <c r="B56" s="158" t="s">
        <v>8</v>
      </c>
      <c r="C56" s="162">
        <v>916</v>
      </c>
      <c r="D56" s="62">
        <v>1305.20472</v>
      </c>
      <c r="E56" s="39">
        <v>1650.46272</v>
      </c>
      <c r="F56" s="39">
        <v>218.427</v>
      </c>
      <c r="G56" s="39"/>
      <c r="H56" s="39">
        <f t="shared" si="9"/>
        <v>1868.88972</v>
      </c>
      <c r="I56" s="63">
        <f t="shared" si="10"/>
        <v>218.4269999999999</v>
      </c>
      <c r="J56" s="1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2:254" s="41" customFormat="1" ht="13.5" thickBot="1">
      <c r="B57" s="158" t="s">
        <v>9</v>
      </c>
      <c r="C57" s="162">
        <v>916</v>
      </c>
      <c r="D57" s="62">
        <v>65.32</v>
      </c>
      <c r="E57" s="39">
        <v>65.32</v>
      </c>
      <c r="F57" s="156"/>
      <c r="G57" s="156"/>
      <c r="H57" s="183">
        <f t="shared" si="9"/>
        <v>65.32</v>
      </c>
      <c r="I57" s="63">
        <f t="shared" si="10"/>
        <v>0</v>
      </c>
      <c r="J57" s="1"/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2:254" s="41" customFormat="1" ht="13.5" thickBot="1">
      <c r="B58" s="160" t="s">
        <v>16</v>
      </c>
      <c r="C58" s="67">
        <v>916</v>
      </c>
      <c r="D58" s="68">
        <f aca="true" t="shared" si="11" ref="D58:I58">SUM(D48:D57)</f>
        <v>52766.191770000005</v>
      </c>
      <c r="E58" s="69">
        <f t="shared" si="11"/>
        <v>71395.49069</v>
      </c>
      <c r="F58" s="69">
        <f t="shared" si="11"/>
        <v>82402.35258</v>
      </c>
      <c r="G58" s="69">
        <f t="shared" si="11"/>
        <v>23418.04821</v>
      </c>
      <c r="H58" s="69">
        <f t="shared" si="11"/>
        <v>130379.79506</v>
      </c>
      <c r="I58" s="69">
        <f t="shared" si="11"/>
        <v>58984.30437</v>
      </c>
      <c r="J58" s="1"/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3:11" ht="13.5" thickBot="1">
      <c r="C59" s="56"/>
      <c r="K59" s="10"/>
    </row>
    <row r="60" spans="2:11" ht="43.5" customHeight="1" thickBot="1">
      <c r="B60" s="5" t="s">
        <v>15</v>
      </c>
      <c r="C60" s="181" t="s">
        <v>18</v>
      </c>
      <c r="D60" s="182" t="s">
        <v>204</v>
      </c>
      <c r="E60" s="6" t="s">
        <v>396</v>
      </c>
      <c r="F60" s="57" t="s">
        <v>185</v>
      </c>
      <c r="G60" s="5" t="s">
        <v>25</v>
      </c>
      <c r="H60" s="5" t="s">
        <v>397</v>
      </c>
      <c r="I60" s="181" t="s">
        <v>398</v>
      </c>
      <c r="K60" s="10"/>
    </row>
    <row r="61" spans="2:9" ht="13.5" thickBot="1">
      <c r="B61" s="33"/>
      <c r="C61" s="30"/>
      <c r="D61" s="59"/>
      <c r="E61" s="9">
        <v>1</v>
      </c>
      <c r="F61" s="60">
        <v>2</v>
      </c>
      <c r="G61" s="8">
        <v>3</v>
      </c>
      <c r="H61" s="60">
        <v>4</v>
      </c>
      <c r="I61" s="8">
        <v>5</v>
      </c>
    </row>
    <row r="62" spans="2:11" ht="12.75">
      <c r="B62" s="11" t="s">
        <v>4</v>
      </c>
      <c r="C62" s="165"/>
      <c r="D62" s="163">
        <f aca="true" t="shared" si="12" ref="D62:I71">D6+D20+D34+D48</f>
        <v>52519.48696</v>
      </c>
      <c r="E62" s="24">
        <f t="shared" si="12"/>
        <v>72325.86609000001</v>
      </c>
      <c r="F62" s="24">
        <f t="shared" si="12"/>
        <v>32297.51691</v>
      </c>
      <c r="G62" s="24">
        <f t="shared" si="12"/>
        <v>61617.02472000001</v>
      </c>
      <c r="H62" s="24">
        <f t="shared" si="12"/>
        <v>43006.35827999999</v>
      </c>
      <c r="I62" s="24">
        <f t="shared" si="12"/>
        <v>-29319.50781000001</v>
      </c>
      <c r="K62" s="10"/>
    </row>
    <row r="63" spans="2:11" ht="12.75">
      <c r="B63" s="11" t="s">
        <v>420</v>
      </c>
      <c r="C63" s="165"/>
      <c r="D63" s="163">
        <f t="shared" si="12"/>
        <v>101410.38657</v>
      </c>
      <c r="E63" s="153">
        <f t="shared" si="12"/>
        <v>88216.34465000001</v>
      </c>
      <c r="F63" s="153">
        <f t="shared" si="12"/>
        <v>116398.47278</v>
      </c>
      <c r="G63" s="153">
        <f t="shared" si="12"/>
        <v>93136.12837</v>
      </c>
      <c r="H63" s="153">
        <f t="shared" si="12"/>
        <v>111478.68906</v>
      </c>
      <c r="I63" s="153">
        <f t="shared" si="12"/>
        <v>23262.34441000001</v>
      </c>
      <c r="K63" s="10"/>
    </row>
    <row r="64" spans="2:11" ht="12.75">
      <c r="B64" s="11" t="s">
        <v>421</v>
      </c>
      <c r="C64" s="165"/>
      <c r="D64" s="163">
        <f t="shared" si="12"/>
        <v>753.2188100000001</v>
      </c>
      <c r="E64" s="153">
        <f t="shared" si="12"/>
        <v>1058.46486</v>
      </c>
      <c r="F64" s="153">
        <f t="shared" si="12"/>
        <v>3436.56921</v>
      </c>
      <c r="G64" s="153">
        <f t="shared" si="12"/>
        <v>869.6512</v>
      </c>
      <c r="H64" s="153">
        <f t="shared" si="12"/>
        <v>3625.3828700000004</v>
      </c>
      <c r="I64" s="153">
        <f t="shared" si="12"/>
        <v>2566.9180100000003</v>
      </c>
      <c r="K64" s="10"/>
    </row>
    <row r="65" spans="2:11" ht="12.75">
      <c r="B65" s="11" t="s">
        <v>6</v>
      </c>
      <c r="C65" s="165"/>
      <c r="D65" s="163">
        <f t="shared" si="12"/>
        <v>188807.00201000003</v>
      </c>
      <c r="E65" s="153">
        <f t="shared" si="12"/>
        <v>137611.42372</v>
      </c>
      <c r="F65" s="153">
        <f t="shared" si="12"/>
        <v>17101.53338</v>
      </c>
      <c r="G65" s="153">
        <f t="shared" si="12"/>
        <v>80912.93328</v>
      </c>
      <c r="H65" s="153">
        <f t="shared" si="12"/>
        <v>73800.02382000003</v>
      </c>
      <c r="I65" s="153">
        <f t="shared" si="12"/>
        <v>-63811.39989999999</v>
      </c>
      <c r="K65" s="10"/>
    </row>
    <row r="66" spans="2:11" ht="12.75">
      <c r="B66" s="11" t="s">
        <v>190</v>
      </c>
      <c r="C66" s="165"/>
      <c r="D66" s="163">
        <f t="shared" si="12"/>
        <v>19829.3237</v>
      </c>
      <c r="E66" s="153">
        <f t="shared" si="12"/>
        <v>33440.50012</v>
      </c>
      <c r="F66" s="153">
        <f t="shared" si="12"/>
        <v>53463.644400000005</v>
      </c>
      <c r="G66" s="153">
        <f t="shared" si="12"/>
        <v>13458.61111</v>
      </c>
      <c r="H66" s="153">
        <f t="shared" si="12"/>
        <v>73445.53341</v>
      </c>
      <c r="I66" s="153">
        <f t="shared" si="12"/>
        <v>40005.03329000001</v>
      </c>
      <c r="K66" s="10"/>
    </row>
    <row r="67" spans="2:11" ht="12.75">
      <c r="B67" s="14" t="s">
        <v>7</v>
      </c>
      <c r="C67" s="165"/>
      <c r="D67" s="163">
        <f t="shared" si="12"/>
        <v>807.2957</v>
      </c>
      <c r="E67" s="153">
        <f t="shared" si="12"/>
        <v>824.56449</v>
      </c>
      <c r="F67" s="153">
        <f t="shared" si="12"/>
        <v>1.57726</v>
      </c>
      <c r="G67" s="153">
        <f t="shared" si="12"/>
        <v>0.54312</v>
      </c>
      <c r="H67" s="153">
        <f t="shared" si="12"/>
        <v>825.5986300000001</v>
      </c>
      <c r="I67" s="153">
        <f t="shared" si="12"/>
        <v>1.0341400000000363</v>
      </c>
      <c r="K67" s="10"/>
    </row>
    <row r="68" spans="2:11" ht="12.75">
      <c r="B68" s="14" t="s">
        <v>422</v>
      </c>
      <c r="C68" s="165"/>
      <c r="D68" s="163">
        <f t="shared" si="12"/>
        <v>41015.95321</v>
      </c>
      <c r="E68" s="153">
        <f t="shared" si="12"/>
        <v>57579.76759</v>
      </c>
      <c r="F68" s="153">
        <f t="shared" si="12"/>
        <v>39137.90166</v>
      </c>
      <c r="G68" s="153">
        <f t="shared" si="12"/>
        <v>36678.14931</v>
      </c>
      <c r="H68" s="153">
        <f t="shared" si="12"/>
        <v>60039.51994</v>
      </c>
      <c r="I68" s="153">
        <f t="shared" si="12"/>
        <v>2459.752350000002</v>
      </c>
      <c r="K68" s="10"/>
    </row>
    <row r="69" spans="2:11" ht="12.75">
      <c r="B69" s="38" t="s">
        <v>191</v>
      </c>
      <c r="C69" s="165"/>
      <c r="D69" s="163">
        <f t="shared" si="12"/>
        <v>74756.10476999999</v>
      </c>
      <c r="E69" s="153">
        <f t="shared" si="12"/>
        <v>74756.10476999999</v>
      </c>
      <c r="F69" s="153">
        <f t="shared" si="12"/>
        <v>76349.9005</v>
      </c>
      <c r="G69" s="153">
        <f t="shared" si="12"/>
        <v>51538.107639999995</v>
      </c>
      <c r="H69" s="153">
        <f t="shared" si="12"/>
        <v>99567.89762999999</v>
      </c>
      <c r="I69" s="153">
        <f t="shared" si="12"/>
        <v>24811.792859999994</v>
      </c>
      <c r="K69" s="10"/>
    </row>
    <row r="70" spans="2:11" ht="12.75">
      <c r="B70" s="11" t="s">
        <v>8</v>
      </c>
      <c r="C70" s="165"/>
      <c r="D70" s="153">
        <f t="shared" si="12"/>
        <v>2772.4389199999996</v>
      </c>
      <c r="E70" s="153">
        <f t="shared" si="12"/>
        <v>3466.1235500000003</v>
      </c>
      <c r="F70" s="153">
        <f t="shared" si="12"/>
        <v>446.64563</v>
      </c>
      <c r="G70" s="153">
        <f t="shared" si="12"/>
        <v>170.96915</v>
      </c>
      <c r="H70" s="153">
        <f t="shared" si="12"/>
        <v>3741.80003</v>
      </c>
      <c r="I70" s="153">
        <f t="shared" si="12"/>
        <v>275.6764799999998</v>
      </c>
      <c r="K70" s="10"/>
    </row>
    <row r="71" spans="2:11" ht="13.5" thickBot="1">
      <c r="B71" s="11" t="s">
        <v>9</v>
      </c>
      <c r="C71" s="165"/>
      <c r="D71" s="163">
        <f t="shared" si="12"/>
        <v>241.43066</v>
      </c>
      <c r="E71" s="153">
        <f t="shared" si="12"/>
        <v>237.62340999999998</v>
      </c>
      <c r="F71" s="153">
        <f t="shared" si="12"/>
        <v>23.9</v>
      </c>
      <c r="G71" s="153">
        <f t="shared" si="12"/>
        <v>41.27375</v>
      </c>
      <c r="H71" s="153">
        <f t="shared" si="12"/>
        <v>220.24966</v>
      </c>
      <c r="I71" s="153">
        <f t="shared" si="12"/>
        <v>-17.373749999999994</v>
      </c>
      <c r="K71" s="10"/>
    </row>
    <row r="72" spans="2:11" ht="13.5" thickBot="1">
      <c r="B72" s="17" t="s">
        <v>16</v>
      </c>
      <c r="C72" s="30"/>
      <c r="D72" s="164">
        <f>SUM(D62:D71)</f>
        <v>482912.64131000004</v>
      </c>
      <c r="E72" s="18">
        <f>SUM(E62:E71)</f>
        <v>469516.78325000004</v>
      </c>
      <c r="F72" s="18">
        <f>SUM(F62:F71)</f>
        <v>338657.66173</v>
      </c>
      <c r="G72" s="18">
        <f>SUM(G62:G71)</f>
        <v>338423.39165</v>
      </c>
      <c r="H72" s="18">
        <f>SUM(H62:H71)</f>
        <v>469751.0533300001</v>
      </c>
      <c r="I72" s="18">
        <f>SUM(I62:I71)+0.01</f>
        <v>234.28008000001697</v>
      </c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spans="8:11" ht="12.75">
      <c r="H77" s="10"/>
      <c r="K77" s="10"/>
    </row>
    <row r="78" ht="12.75">
      <c r="K78" s="10"/>
    </row>
    <row r="79" spans="8:11" ht="12.75">
      <c r="H79" s="10"/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  <row r="88" ht="12.75">
      <c r="K88" s="10"/>
    </row>
    <row r="89" ht="12.75">
      <c r="K89" s="10"/>
    </row>
    <row r="90" ht="12.75">
      <c r="K90" s="10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0"/>
    </row>
    <row r="141" ht="12.75">
      <c r="K141" s="10"/>
    </row>
    <row r="142" ht="12.75">
      <c r="K142" s="10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7" ht="12.75">
      <c r="K147" s="10"/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2.75">
      <c r="K194" s="10"/>
    </row>
    <row r="195" ht="12.75"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  <row r="203" ht="12.75">
      <c r="K203" s="10"/>
    </row>
    <row r="204" ht="12.75">
      <c r="K204" s="10"/>
    </row>
    <row r="205" ht="12.75">
      <c r="K205" s="10"/>
    </row>
    <row r="206" ht="12.75">
      <c r="K206" s="10"/>
    </row>
    <row r="207" ht="12.75">
      <c r="K207" s="10"/>
    </row>
    <row r="208" ht="12.75">
      <c r="K208" s="10"/>
    </row>
    <row r="209" ht="12.75">
      <c r="K209" s="10"/>
    </row>
    <row r="210" ht="12.75">
      <c r="K210" s="10"/>
    </row>
    <row r="211" ht="12.75">
      <c r="K211" s="10"/>
    </row>
    <row r="212" ht="12.75">
      <c r="K212" s="10"/>
    </row>
    <row r="213" ht="12.75">
      <c r="K213" s="10"/>
    </row>
    <row r="214" ht="12.75">
      <c r="K214" s="10"/>
    </row>
    <row r="215" ht="12.75">
      <c r="K215" s="10"/>
    </row>
    <row r="216" ht="12.75">
      <c r="K216" s="10"/>
    </row>
    <row r="217" ht="12.75">
      <c r="K217" s="10"/>
    </row>
    <row r="218" ht="12.75">
      <c r="K218" s="10"/>
    </row>
    <row r="219" ht="12.75">
      <c r="K219" s="10"/>
    </row>
    <row r="220" ht="12.75">
      <c r="K220" s="10"/>
    </row>
    <row r="221" ht="12.75">
      <c r="K221" s="10"/>
    </row>
    <row r="222" ht="12.75">
      <c r="K222" s="10"/>
    </row>
    <row r="223" ht="12.75">
      <c r="K223" s="10"/>
    </row>
    <row r="224" ht="12.75">
      <c r="K224" s="10"/>
    </row>
    <row r="225" ht="12.75">
      <c r="K225" s="10"/>
    </row>
    <row r="226" ht="12.75">
      <c r="K226" s="10"/>
    </row>
    <row r="227" ht="12.75">
      <c r="K227" s="10"/>
    </row>
    <row r="228" ht="12.75">
      <c r="K228" s="10"/>
    </row>
    <row r="229" ht="12.75">
      <c r="K229" s="10"/>
    </row>
    <row r="230" ht="12.75">
      <c r="K230" s="10"/>
    </row>
    <row r="231" ht="12.75">
      <c r="K231" s="10"/>
    </row>
    <row r="232" ht="12.75">
      <c r="K232" s="10"/>
    </row>
    <row r="233" ht="12.75">
      <c r="K233" s="10"/>
    </row>
    <row r="234" ht="12.75">
      <c r="K234" s="10"/>
    </row>
  </sheetData>
  <sheetProtection/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9"/>
  <sheetViews>
    <sheetView zoomScale="80" zoomScaleNormal="80" zoomScalePageLayoutView="0" workbookViewId="0" topLeftCell="A1">
      <selection activeCell="G43" sqref="G43"/>
    </sheetView>
  </sheetViews>
  <sheetFormatPr defaultColWidth="9.140625" defaultRowHeight="12.75"/>
  <cols>
    <col min="1" max="1" width="4.421875" style="1" customWidth="1"/>
    <col min="2" max="2" width="18.57421875" style="1" customWidth="1"/>
    <col min="3" max="3" width="9.140625" style="1" customWidth="1"/>
    <col min="4" max="4" width="14.421875" style="1" customWidth="1"/>
    <col min="5" max="5" width="14.140625" style="1" customWidth="1"/>
    <col min="6" max="6" width="14.28125" style="1" customWidth="1"/>
    <col min="7" max="7" width="14.421875" style="187" bestFit="1" customWidth="1"/>
    <col min="8" max="8" width="14.57421875" style="187" customWidth="1"/>
    <col min="9" max="9" width="13.421875" style="187" bestFit="1" customWidth="1"/>
    <col min="10" max="10" width="8.8515625" style="1" customWidth="1"/>
    <col min="11" max="16384" width="9.140625" style="1" customWidth="1"/>
  </cols>
  <sheetData>
    <row r="1" spans="8:9" ht="15.75">
      <c r="H1" s="195" t="s">
        <v>111</v>
      </c>
      <c r="I1" s="196"/>
    </row>
    <row r="2" ht="15.75">
      <c r="B2" s="3" t="s">
        <v>17</v>
      </c>
    </row>
    <row r="3" ht="13.5" thickBot="1">
      <c r="H3" s="197" t="s">
        <v>1</v>
      </c>
    </row>
    <row r="4" spans="2:9" ht="13.5" thickBot="1">
      <c r="B4" s="26"/>
      <c r="C4" s="27"/>
      <c r="D4" s="28"/>
      <c r="E4" s="29" t="s">
        <v>393</v>
      </c>
      <c r="F4" s="30"/>
      <c r="G4" s="198"/>
      <c r="H4" s="199" t="s">
        <v>399</v>
      </c>
      <c r="I4" s="200"/>
    </row>
    <row r="5" spans="2:9" ht="27" customHeight="1" thickBot="1">
      <c r="B5" s="31" t="s">
        <v>3</v>
      </c>
      <c r="C5" s="32" t="s">
        <v>18</v>
      </c>
      <c r="D5" s="5" t="s">
        <v>19</v>
      </c>
      <c r="E5" s="5" t="s">
        <v>20</v>
      </c>
      <c r="F5" s="201" t="s">
        <v>202</v>
      </c>
      <c r="G5" s="201" t="s">
        <v>19</v>
      </c>
      <c r="H5" s="201" t="s">
        <v>20</v>
      </c>
      <c r="I5" s="201" t="s">
        <v>202</v>
      </c>
    </row>
    <row r="6" spans="2:9" ht="13.5" thickBot="1">
      <c r="B6" s="33"/>
      <c r="C6" s="34"/>
      <c r="D6" s="23">
        <v>241</v>
      </c>
      <c r="E6" s="23">
        <v>245</v>
      </c>
      <c r="F6" s="23">
        <v>243</v>
      </c>
      <c r="G6" s="202">
        <v>241</v>
      </c>
      <c r="H6" s="188">
        <v>245</v>
      </c>
      <c r="I6" s="188">
        <v>243</v>
      </c>
    </row>
    <row r="7" spans="2:10" ht="12.75">
      <c r="B7" s="11" t="s">
        <v>4</v>
      </c>
      <c r="C7" s="36">
        <v>911</v>
      </c>
      <c r="D7" s="12"/>
      <c r="E7" s="12">
        <v>583.65003</v>
      </c>
      <c r="F7" s="13"/>
      <c r="G7" s="156"/>
      <c r="H7" s="156">
        <v>883.56003</v>
      </c>
      <c r="I7" s="203"/>
      <c r="J7" s="35"/>
    </row>
    <row r="8" spans="2:10" ht="12.75">
      <c r="B8" s="11" t="s">
        <v>420</v>
      </c>
      <c r="C8" s="36">
        <v>911</v>
      </c>
      <c r="D8" s="12">
        <v>202.76485</v>
      </c>
      <c r="E8" s="12"/>
      <c r="F8" s="13"/>
      <c r="G8" s="156">
        <v>202.76485</v>
      </c>
      <c r="H8" s="156"/>
      <c r="I8" s="203"/>
      <c r="J8" s="35"/>
    </row>
    <row r="9" spans="2:10" ht="12.75">
      <c r="B9" s="11" t="s">
        <v>421</v>
      </c>
      <c r="C9" s="36">
        <v>911</v>
      </c>
      <c r="D9" s="12"/>
      <c r="E9" s="12"/>
      <c r="F9" s="13"/>
      <c r="G9" s="156"/>
      <c r="H9" s="156"/>
      <c r="I9" s="203"/>
      <c r="J9" s="35"/>
    </row>
    <row r="10" spans="2:10" ht="12.75">
      <c r="B10" s="11" t="s">
        <v>6</v>
      </c>
      <c r="C10" s="36">
        <v>911</v>
      </c>
      <c r="D10" s="12">
        <v>474.14323</v>
      </c>
      <c r="E10" s="12"/>
      <c r="F10" s="13"/>
      <c r="G10" s="156">
        <v>313.55523</v>
      </c>
      <c r="H10" s="156"/>
      <c r="I10" s="203"/>
      <c r="J10" s="35"/>
    </row>
    <row r="11" spans="2:10" ht="12.75">
      <c r="B11" s="11" t="s">
        <v>190</v>
      </c>
      <c r="C11" s="36">
        <v>911</v>
      </c>
      <c r="D11" s="12"/>
      <c r="E11" s="12">
        <v>1911.5055</v>
      </c>
      <c r="F11" s="13"/>
      <c r="G11" s="156"/>
      <c r="H11" s="156">
        <v>253.6645</v>
      </c>
      <c r="I11" s="203"/>
      <c r="J11" s="35"/>
    </row>
    <row r="12" spans="2:10" ht="12.75">
      <c r="B12" s="14" t="s">
        <v>7</v>
      </c>
      <c r="C12" s="37">
        <v>911</v>
      </c>
      <c r="D12" s="15"/>
      <c r="E12" s="15"/>
      <c r="F12" s="16"/>
      <c r="G12" s="183"/>
      <c r="H12" s="183"/>
      <c r="I12" s="203"/>
      <c r="J12" s="35"/>
    </row>
    <row r="13" spans="2:10" ht="12.75">
      <c r="B13" s="53" t="s">
        <v>422</v>
      </c>
      <c r="C13" s="37">
        <v>911</v>
      </c>
      <c r="D13" s="541"/>
      <c r="E13" s="541">
        <v>496459</v>
      </c>
      <c r="F13" s="544"/>
      <c r="G13" s="545"/>
      <c r="H13" s="546">
        <v>448445</v>
      </c>
      <c r="I13" s="542"/>
      <c r="J13" s="35"/>
    </row>
    <row r="14" spans="2:10" ht="12.75">
      <c r="B14" s="159" t="s">
        <v>191</v>
      </c>
      <c r="C14" s="37">
        <v>911</v>
      </c>
      <c r="D14" s="12"/>
      <c r="E14" s="12"/>
      <c r="F14" s="13"/>
      <c r="G14" s="156"/>
      <c r="H14" s="156"/>
      <c r="I14" s="203"/>
      <c r="J14" s="35"/>
    </row>
    <row r="15" spans="2:10" ht="12.75">
      <c r="B15" s="11" t="s">
        <v>8</v>
      </c>
      <c r="C15" s="37">
        <v>911</v>
      </c>
      <c r="D15" s="12">
        <v>107163.98</v>
      </c>
      <c r="E15" s="12"/>
      <c r="F15" s="13"/>
      <c r="G15" s="156">
        <v>87624.98</v>
      </c>
      <c r="H15" s="156"/>
      <c r="I15" s="203"/>
      <c r="J15" s="35"/>
    </row>
    <row r="16" spans="2:10" ht="13.5" thickBot="1">
      <c r="B16" s="11" t="s">
        <v>9</v>
      </c>
      <c r="C16" s="36">
        <v>911</v>
      </c>
      <c r="D16" s="12">
        <v>90352</v>
      </c>
      <c r="E16" s="15"/>
      <c r="F16" s="16"/>
      <c r="G16" s="156">
        <v>90352</v>
      </c>
      <c r="H16" s="183"/>
      <c r="I16" s="204"/>
      <c r="J16" s="35"/>
    </row>
    <row r="17" spans="2:10" ht="16.5" customHeight="1" thickBot="1">
      <c r="B17" s="17" t="s">
        <v>16</v>
      </c>
      <c r="C17" s="23">
        <v>911</v>
      </c>
      <c r="D17" s="42">
        <f aca="true" t="shared" si="0" ref="D17:I17">SUM(D7:D16)</f>
        <v>198192.88808</v>
      </c>
      <c r="E17" s="42">
        <f t="shared" si="0"/>
        <v>498954.15553</v>
      </c>
      <c r="F17" s="18">
        <f t="shared" si="0"/>
        <v>0</v>
      </c>
      <c r="G17" s="205">
        <f t="shared" si="0"/>
        <v>178493.30008000002</v>
      </c>
      <c r="H17" s="205">
        <f t="shared" si="0"/>
        <v>449582.22453</v>
      </c>
      <c r="I17" s="186">
        <f t="shared" si="0"/>
        <v>0</v>
      </c>
      <c r="J17" s="35"/>
    </row>
    <row r="18" ht="13.5" thickBot="1">
      <c r="J18" s="35"/>
    </row>
    <row r="19" spans="2:10" ht="13.5" thickBot="1">
      <c r="B19" s="26"/>
      <c r="C19" s="27"/>
      <c r="D19" s="28"/>
      <c r="E19" s="29" t="s">
        <v>393</v>
      </c>
      <c r="F19" s="30"/>
      <c r="G19" s="198"/>
      <c r="H19" s="199" t="s">
        <v>399</v>
      </c>
      <c r="I19" s="200"/>
      <c r="J19" s="35"/>
    </row>
    <row r="20" spans="2:10" ht="27" customHeight="1" thickBot="1">
      <c r="B20" s="31" t="s">
        <v>21</v>
      </c>
      <c r="C20" s="32" t="s">
        <v>18</v>
      </c>
      <c r="D20" s="5" t="s">
        <v>19</v>
      </c>
      <c r="E20" s="5" t="s">
        <v>20</v>
      </c>
      <c r="F20" s="201" t="s">
        <v>202</v>
      </c>
      <c r="G20" s="201" t="s">
        <v>19</v>
      </c>
      <c r="H20" s="201" t="s">
        <v>20</v>
      </c>
      <c r="I20" s="201" t="s">
        <v>202</v>
      </c>
      <c r="J20" s="35"/>
    </row>
    <row r="21" spans="2:10" ht="13.5" thickBot="1">
      <c r="B21" s="33"/>
      <c r="C21" s="34"/>
      <c r="D21" s="23">
        <v>241</v>
      </c>
      <c r="E21" s="23">
        <v>245</v>
      </c>
      <c r="F21" s="23">
        <v>243</v>
      </c>
      <c r="G21" s="202">
        <v>241</v>
      </c>
      <c r="H21" s="188">
        <v>245</v>
      </c>
      <c r="I21" s="188">
        <v>243</v>
      </c>
      <c r="J21" s="35"/>
    </row>
    <row r="22" spans="2:10" ht="12.75">
      <c r="B22" s="11" t="s">
        <v>4</v>
      </c>
      <c r="C22" s="43">
        <v>912</v>
      </c>
      <c r="D22" s="12"/>
      <c r="E22" s="12"/>
      <c r="F22" s="13">
        <v>1145.591</v>
      </c>
      <c r="G22" s="156"/>
      <c r="H22" s="156"/>
      <c r="I22" s="203">
        <v>1349.196</v>
      </c>
      <c r="J22" s="35"/>
    </row>
    <row r="23" spans="2:10" ht="12.75">
      <c r="B23" s="11" t="s">
        <v>420</v>
      </c>
      <c r="C23" s="43">
        <v>912</v>
      </c>
      <c r="D23" s="12"/>
      <c r="E23" s="12"/>
      <c r="F23" s="13">
        <v>180.11021</v>
      </c>
      <c r="G23" s="156"/>
      <c r="H23" s="156"/>
      <c r="I23" s="203">
        <v>48.26403</v>
      </c>
      <c r="J23" s="35"/>
    </row>
    <row r="24" spans="2:10" ht="12.75">
      <c r="B24" s="11" t="s">
        <v>421</v>
      </c>
      <c r="C24" s="43">
        <v>912</v>
      </c>
      <c r="D24" s="12"/>
      <c r="E24" s="12"/>
      <c r="F24" s="13">
        <v>79.50162</v>
      </c>
      <c r="G24" s="156"/>
      <c r="H24" s="156"/>
      <c r="I24" s="203">
        <v>58.50662</v>
      </c>
      <c r="J24" s="35"/>
    </row>
    <row r="25" spans="2:10" ht="12.75">
      <c r="B25" s="11" t="s">
        <v>6</v>
      </c>
      <c r="C25" s="43">
        <v>912</v>
      </c>
      <c r="D25" s="12"/>
      <c r="E25" s="12"/>
      <c r="F25" s="13">
        <v>230.4186</v>
      </c>
      <c r="G25" s="156"/>
      <c r="H25" s="156"/>
      <c r="I25" s="203">
        <v>67.23613</v>
      </c>
      <c r="J25" s="35"/>
    </row>
    <row r="26" spans="2:10" ht="12.75">
      <c r="B26" s="11" t="s">
        <v>190</v>
      </c>
      <c r="C26" s="43">
        <v>912</v>
      </c>
      <c r="D26" s="12"/>
      <c r="E26" s="12"/>
      <c r="F26" s="13">
        <v>307.02967</v>
      </c>
      <c r="G26" s="156"/>
      <c r="H26" s="156"/>
      <c r="I26" s="203">
        <v>238.00307</v>
      </c>
      <c r="J26" s="35"/>
    </row>
    <row r="27" spans="2:10" ht="12.75">
      <c r="B27" s="14" t="s">
        <v>7</v>
      </c>
      <c r="C27" s="44">
        <v>912</v>
      </c>
      <c r="D27" s="12"/>
      <c r="E27" s="12"/>
      <c r="F27" s="13"/>
      <c r="G27" s="156"/>
      <c r="H27" s="156"/>
      <c r="I27" s="203"/>
      <c r="J27" s="35"/>
    </row>
    <row r="28" spans="2:10" ht="12.75">
      <c r="B28" s="53" t="s">
        <v>422</v>
      </c>
      <c r="C28" s="37">
        <v>912</v>
      </c>
      <c r="D28" s="543"/>
      <c r="E28" s="543"/>
      <c r="F28" s="13">
        <v>371549.79</v>
      </c>
      <c r="G28" s="156"/>
      <c r="H28" s="156"/>
      <c r="I28" s="203">
        <v>42114.84</v>
      </c>
      <c r="J28" s="35"/>
    </row>
    <row r="29" spans="2:10" ht="12.75">
      <c r="B29" s="159" t="s">
        <v>191</v>
      </c>
      <c r="C29" s="43">
        <v>912</v>
      </c>
      <c r="D29" s="12"/>
      <c r="E29" s="12"/>
      <c r="F29" s="13">
        <v>458158.07</v>
      </c>
      <c r="G29" s="156"/>
      <c r="H29" s="156"/>
      <c r="I29" s="203">
        <v>273853.8</v>
      </c>
      <c r="J29" s="35"/>
    </row>
    <row r="30" spans="2:10" ht="12.75">
      <c r="B30" s="11" t="s">
        <v>8</v>
      </c>
      <c r="C30" s="43">
        <v>912</v>
      </c>
      <c r="D30" s="12"/>
      <c r="E30" s="12"/>
      <c r="F30" s="13">
        <v>58545.86</v>
      </c>
      <c r="G30" s="156"/>
      <c r="H30" s="156"/>
      <c r="I30" s="203">
        <v>50996.91</v>
      </c>
      <c r="J30" s="35"/>
    </row>
    <row r="31" spans="2:10" ht="13.5" thickBot="1">
      <c r="B31" s="11" t="s">
        <v>9</v>
      </c>
      <c r="C31" s="43">
        <v>912</v>
      </c>
      <c r="D31" s="12"/>
      <c r="E31" s="15"/>
      <c r="F31" s="16">
        <v>50262.5</v>
      </c>
      <c r="G31" s="156"/>
      <c r="H31" s="183"/>
      <c r="I31" s="204">
        <v>35523</v>
      </c>
      <c r="J31" s="35"/>
    </row>
    <row r="32" spans="2:10" ht="13.5" thickBot="1">
      <c r="B32" s="17" t="s">
        <v>16</v>
      </c>
      <c r="C32" s="23">
        <v>912</v>
      </c>
      <c r="D32" s="42">
        <f aca="true" t="shared" si="1" ref="D32:I32">SUM(D22:D31)</f>
        <v>0</v>
      </c>
      <c r="E32" s="42">
        <f t="shared" si="1"/>
        <v>0</v>
      </c>
      <c r="F32" s="18">
        <f t="shared" si="1"/>
        <v>940458.8711</v>
      </c>
      <c r="G32" s="205">
        <f t="shared" si="1"/>
        <v>0</v>
      </c>
      <c r="H32" s="205">
        <f t="shared" si="1"/>
        <v>0</v>
      </c>
      <c r="I32" s="186">
        <f t="shared" si="1"/>
        <v>404249.75584999996</v>
      </c>
      <c r="J32" s="35"/>
    </row>
    <row r="33" ht="13.5" thickBot="1">
      <c r="J33" s="35"/>
    </row>
    <row r="34" spans="2:10" ht="13.5" thickBot="1">
      <c r="B34" s="26"/>
      <c r="C34" s="27"/>
      <c r="D34" s="28"/>
      <c r="E34" s="29" t="s">
        <v>393</v>
      </c>
      <c r="F34" s="30"/>
      <c r="G34" s="198"/>
      <c r="H34" s="199" t="s">
        <v>399</v>
      </c>
      <c r="I34" s="200"/>
      <c r="J34" s="35"/>
    </row>
    <row r="35" spans="2:10" ht="27" customHeight="1" thickBot="1">
      <c r="B35" s="31" t="s">
        <v>11</v>
      </c>
      <c r="C35" s="32" t="s">
        <v>18</v>
      </c>
      <c r="D35" s="5" t="s">
        <v>19</v>
      </c>
      <c r="E35" s="5" t="s">
        <v>20</v>
      </c>
      <c r="F35" s="201" t="s">
        <v>202</v>
      </c>
      <c r="G35" s="201" t="s">
        <v>19</v>
      </c>
      <c r="H35" s="201" t="s">
        <v>20</v>
      </c>
      <c r="I35" s="201" t="s">
        <v>202</v>
      </c>
      <c r="J35" s="35"/>
    </row>
    <row r="36" spans="2:10" ht="13.5" thickBot="1">
      <c r="B36" s="33"/>
      <c r="C36" s="34"/>
      <c r="D36" s="23">
        <v>241</v>
      </c>
      <c r="E36" s="23">
        <v>245</v>
      </c>
      <c r="F36" s="23">
        <v>243</v>
      </c>
      <c r="G36" s="202">
        <v>241</v>
      </c>
      <c r="H36" s="188">
        <v>245</v>
      </c>
      <c r="I36" s="188">
        <v>243</v>
      </c>
      <c r="J36" s="35"/>
    </row>
    <row r="37" spans="2:10" ht="12.75">
      <c r="B37" s="11" t="s">
        <v>4</v>
      </c>
      <c r="C37" s="43">
        <v>914</v>
      </c>
      <c r="D37" s="12">
        <v>60201.35732</v>
      </c>
      <c r="E37" s="12">
        <v>920.7222</v>
      </c>
      <c r="F37" s="13"/>
      <c r="G37" s="156">
        <v>24643.18794</v>
      </c>
      <c r="H37" s="156">
        <v>2679.88342</v>
      </c>
      <c r="I37" s="203"/>
      <c r="J37" s="35"/>
    </row>
    <row r="38" spans="2:10" ht="12.75">
      <c r="B38" s="11" t="s">
        <v>420</v>
      </c>
      <c r="C38" s="43">
        <v>914</v>
      </c>
      <c r="D38" s="12">
        <v>87506.90871</v>
      </c>
      <c r="E38" s="12"/>
      <c r="F38" s="13"/>
      <c r="G38" s="156">
        <v>110495.60462</v>
      </c>
      <c r="H38" s="156"/>
      <c r="I38" s="203"/>
      <c r="J38" s="35"/>
    </row>
    <row r="39" spans="2:10" ht="12.75">
      <c r="B39" s="11" t="s">
        <v>421</v>
      </c>
      <c r="C39" s="43">
        <v>914</v>
      </c>
      <c r="D39" s="12">
        <v>389.86643</v>
      </c>
      <c r="E39" s="12"/>
      <c r="F39" s="13"/>
      <c r="G39" s="156">
        <v>610.33392</v>
      </c>
      <c r="H39" s="156"/>
      <c r="I39" s="203"/>
      <c r="J39" s="35"/>
    </row>
    <row r="40" spans="2:10" ht="12.75">
      <c r="B40" s="11" t="s">
        <v>6</v>
      </c>
      <c r="C40" s="43">
        <v>914</v>
      </c>
      <c r="D40" s="12">
        <v>127604.0733</v>
      </c>
      <c r="E40" s="12"/>
      <c r="F40" s="13"/>
      <c r="G40" s="156">
        <v>70186.25704</v>
      </c>
      <c r="H40" s="156"/>
      <c r="I40" s="203"/>
      <c r="J40" s="35"/>
    </row>
    <row r="41" spans="2:10" ht="12.75">
      <c r="B41" s="11" t="s">
        <v>190</v>
      </c>
      <c r="C41" s="43">
        <v>914</v>
      </c>
      <c r="D41" s="12"/>
      <c r="E41" s="12">
        <v>9321.09296</v>
      </c>
      <c r="F41" s="13"/>
      <c r="G41" s="156"/>
      <c r="H41" s="156">
        <v>539.19827</v>
      </c>
      <c r="I41" s="203"/>
      <c r="J41" s="35"/>
    </row>
    <row r="42" spans="2:10" ht="12.75">
      <c r="B42" s="14" t="s">
        <v>7</v>
      </c>
      <c r="C42" s="44">
        <v>914</v>
      </c>
      <c r="D42" s="12">
        <v>369.96039</v>
      </c>
      <c r="E42" s="12"/>
      <c r="F42" s="13"/>
      <c r="G42" s="156">
        <v>370.99453</v>
      </c>
      <c r="H42" s="156"/>
      <c r="I42" s="203"/>
      <c r="J42" s="35"/>
    </row>
    <row r="43" spans="2:10" ht="12.75">
      <c r="B43" s="53" t="s">
        <v>422</v>
      </c>
      <c r="C43" s="37">
        <v>914</v>
      </c>
      <c r="D43" s="12">
        <v>30134307.52</v>
      </c>
      <c r="E43" s="12">
        <v>9357624.88</v>
      </c>
      <c r="F43" s="12"/>
      <c r="G43" s="12">
        <v>29926491.09</v>
      </c>
      <c r="H43" s="12">
        <v>5501034.54</v>
      </c>
      <c r="I43" s="542"/>
      <c r="J43" s="35"/>
    </row>
    <row r="44" spans="2:10" ht="12.75">
      <c r="B44" s="159" t="s">
        <v>191</v>
      </c>
      <c r="C44" s="43">
        <v>914</v>
      </c>
      <c r="D44" s="12">
        <v>62819190.43</v>
      </c>
      <c r="E44" s="12"/>
      <c r="F44" s="13"/>
      <c r="G44" s="156">
        <v>69992477.89</v>
      </c>
      <c r="H44" s="156"/>
      <c r="I44" s="203"/>
      <c r="J44" s="35"/>
    </row>
    <row r="45" spans="2:10" ht="12.75">
      <c r="B45" s="11" t="s">
        <v>8</v>
      </c>
      <c r="C45" s="43">
        <v>914</v>
      </c>
      <c r="D45" s="12">
        <v>1649847.76</v>
      </c>
      <c r="E45" s="12"/>
      <c r="F45" s="13"/>
      <c r="G45" s="156">
        <v>1736052.24</v>
      </c>
      <c r="H45" s="156"/>
      <c r="I45" s="203"/>
      <c r="J45" s="35"/>
    </row>
    <row r="46" spans="2:10" ht="13.5" thickBot="1">
      <c r="B46" s="11" t="s">
        <v>9</v>
      </c>
      <c r="C46" s="43">
        <v>914</v>
      </c>
      <c r="D46" s="12">
        <v>23197.66</v>
      </c>
      <c r="E46" s="15"/>
      <c r="F46" s="16"/>
      <c r="G46" s="156">
        <v>23197.66</v>
      </c>
      <c r="H46" s="183"/>
      <c r="I46" s="204"/>
      <c r="J46" s="35"/>
    </row>
    <row r="47" spans="2:10" ht="13.5" thickBot="1">
      <c r="B47" s="17" t="s">
        <v>16</v>
      </c>
      <c r="C47" s="23">
        <v>914</v>
      </c>
      <c r="D47" s="42">
        <f aca="true" t="shared" si="2" ref="D47:I47">SUM(D37:D46)</f>
        <v>94902615.53615</v>
      </c>
      <c r="E47" s="42">
        <f t="shared" si="2"/>
        <v>9367866.695160002</v>
      </c>
      <c r="F47" s="18">
        <f t="shared" si="2"/>
        <v>0</v>
      </c>
      <c r="G47" s="205">
        <f t="shared" si="2"/>
        <v>101884525.25805</v>
      </c>
      <c r="H47" s="205">
        <f t="shared" si="2"/>
        <v>5504253.62169</v>
      </c>
      <c r="I47" s="186">
        <f t="shared" si="2"/>
        <v>0</v>
      </c>
      <c r="J47" s="35"/>
    </row>
    <row r="48" ht="13.5" thickBot="1">
      <c r="J48" s="35"/>
    </row>
    <row r="49" spans="2:10" ht="13.5" thickBot="1">
      <c r="B49" s="26"/>
      <c r="C49" s="27"/>
      <c r="D49" s="28"/>
      <c r="E49" s="29" t="s">
        <v>393</v>
      </c>
      <c r="F49" s="30"/>
      <c r="G49" s="198"/>
      <c r="H49" s="199" t="s">
        <v>399</v>
      </c>
      <c r="I49" s="200"/>
      <c r="J49" s="35"/>
    </row>
    <row r="50" spans="2:10" ht="27" customHeight="1" thickBot="1">
      <c r="B50" s="31" t="s">
        <v>22</v>
      </c>
      <c r="C50" s="32" t="s">
        <v>18</v>
      </c>
      <c r="D50" s="5" t="s">
        <v>19</v>
      </c>
      <c r="E50" s="5" t="s">
        <v>20</v>
      </c>
      <c r="F50" s="201" t="s">
        <v>202</v>
      </c>
      <c r="G50" s="201" t="s">
        <v>19</v>
      </c>
      <c r="H50" s="201" t="s">
        <v>20</v>
      </c>
      <c r="I50" s="201" t="s">
        <v>202</v>
      </c>
      <c r="J50" s="35"/>
    </row>
    <row r="51" spans="2:10" ht="13.5" thickBot="1">
      <c r="B51" s="33"/>
      <c r="C51" s="34"/>
      <c r="D51" s="23">
        <v>241</v>
      </c>
      <c r="E51" s="23">
        <v>245</v>
      </c>
      <c r="F51" s="23">
        <v>243</v>
      </c>
      <c r="G51" s="202">
        <v>241</v>
      </c>
      <c r="H51" s="188">
        <v>245</v>
      </c>
      <c r="I51" s="188">
        <v>243</v>
      </c>
      <c r="J51" s="35"/>
    </row>
    <row r="52" spans="2:10" ht="12.75">
      <c r="B52" s="11" t="s">
        <v>4</v>
      </c>
      <c r="C52" s="43">
        <v>916</v>
      </c>
      <c r="D52" s="12"/>
      <c r="E52" s="12">
        <v>10177.11962</v>
      </c>
      <c r="F52" s="13"/>
      <c r="G52" s="156"/>
      <c r="H52" s="156">
        <v>12544.64634</v>
      </c>
      <c r="I52" s="203"/>
      <c r="J52" s="35"/>
    </row>
    <row r="53" spans="2:10" ht="12.75">
      <c r="B53" s="11" t="s">
        <v>420</v>
      </c>
      <c r="C53" s="43">
        <v>916</v>
      </c>
      <c r="D53" s="12">
        <v>322.56088</v>
      </c>
      <c r="E53" s="12"/>
      <c r="F53" s="13"/>
      <c r="G53" s="156">
        <v>708.39256</v>
      </c>
      <c r="H53" s="156"/>
      <c r="I53" s="203"/>
      <c r="J53" s="35"/>
    </row>
    <row r="54" spans="2:10" ht="12.75">
      <c r="B54" s="11" t="s">
        <v>421</v>
      </c>
      <c r="C54" s="43">
        <v>916</v>
      </c>
      <c r="D54" s="12">
        <v>589.09681</v>
      </c>
      <c r="E54" s="12"/>
      <c r="F54" s="13"/>
      <c r="G54" s="156">
        <v>2956.54233</v>
      </c>
      <c r="H54" s="156"/>
      <c r="I54" s="203"/>
      <c r="J54" s="35"/>
    </row>
    <row r="55" spans="2:10" ht="12.75">
      <c r="B55" s="11" t="s">
        <v>6</v>
      </c>
      <c r="C55" s="43">
        <v>916</v>
      </c>
      <c r="D55" s="12">
        <v>2717.90914</v>
      </c>
      <c r="E55" s="12"/>
      <c r="F55" s="13"/>
      <c r="G55" s="156">
        <v>3232.97542</v>
      </c>
      <c r="H55" s="156"/>
      <c r="I55" s="203"/>
      <c r="J55" s="35"/>
    </row>
    <row r="56" spans="2:10" ht="12.75">
      <c r="B56" s="11" t="s">
        <v>190</v>
      </c>
      <c r="C56" s="43">
        <v>916</v>
      </c>
      <c r="D56" s="12"/>
      <c r="E56" s="12">
        <v>20817.45691</v>
      </c>
      <c r="F56" s="13"/>
      <c r="G56" s="156"/>
      <c r="H56" s="156">
        <v>48918.71985</v>
      </c>
      <c r="I56" s="203"/>
      <c r="J56" s="35"/>
    </row>
    <row r="57" spans="2:10" ht="12.75">
      <c r="B57" s="14" t="s">
        <v>7</v>
      </c>
      <c r="C57" s="44">
        <v>916</v>
      </c>
      <c r="D57" s="12">
        <v>454.6041</v>
      </c>
      <c r="E57" s="12"/>
      <c r="F57" s="13"/>
      <c r="G57" s="156">
        <v>454.6041</v>
      </c>
      <c r="H57" s="156"/>
      <c r="I57" s="203"/>
      <c r="J57" s="35"/>
    </row>
    <row r="58" spans="2:10" ht="12.75">
      <c r="B58" s="53" t="s">
        <v>422</v>
      </c>
      <c r="C58" s="37">
        <v>916</v>
      </c>
      <c r="D58" s="541"/>
      <c r="E58" s="12">
        <v>21901417.01</v>
      </c>
      <c r="F58" s="544"/>
      <c r="G58" s="541"/>
      <c r="H58" s="12">
        <v>27813332.63</v>
      </c>
      <c r="I58" s="544"/>
      <c r="J58" s="35"/>
    </row>
    <row r="59" spans="2:10" ht="12.75">
      <c r="B59" s="159" t="s">
        <v>191</v>
      </c>
      <c r="C59" s="43">
        <v>916</v>
      </c>
      <c r="D59" s="547">
        <v>11411086.54</v>
      </c>
      <c r="E59" s="547"/>
      <c r="F59" s="274"/>
      <c r="G59" s="548">
        <v>29251661.94</v>
      </c>
      <c r="H59" s="548"/>
      <c r="I59" s="288"/>
      <c r="J59" s="35"/>
    </row>
    <row r="60" spans="2:10" ht="12.75">
      <c r="B60" s="11" t="s">
        <v>8</v>
      </c>
      <c r="C60" s="43">
        <v>916</v>
      </c>
      <c r="D60" s="12">
        <v>1650399.8</v>
      </c>
      <c r="E60" s="12"/>
      <c r="F60" s="13"/>
      <c r="G60" s="156">
        <v>1868830.81</v>
      </c>
      <c r="H60" s="156"/>
      <c r="I60" s="203"/>
      <c r="J60" s="35"/>
    </row>
    <row r="61" spans="2:10" ht="13.5" thickBot="1">
      <c r="B61" s="11" t="s">
        <v>9</v>
      </c>
      <c r="C61" s="43">
        <v>916</v>
      </c>
      <c r="D61" s="12">
        <v>65320</v>
      </c>
      <c r="E61" s="15"/>
      <c r="F61" s="16"/>
      <c r="G61" s="156">
        <v>65320</v>
      </c>
      <c r="H61" s="183"/>
      <c r="I61" s="204"/>
      <c r="J61" s="35"/>
    </row>
    <row r="62" spans="2:10" ht="13.5" thickBot="1">
      <c r="B62" s="17" t="s">
        <v>16</v>
      </c>
      <c r="C62" s="23">
        <v>916</v>
      </c>
      <c r="D62" s="42">
        <f aca="true" t="shared" si="3" ref="D62:I62">SUM(D52:D61)</f>
        <v>13130890.51093</v>
      </c>
      <c r="E62" s="42">
        <f t="shared" si="3"/>
        <v>21932411.58653</v>
      </c>
      <c r="F62" s="18">
        <f t="shared" si="3"/>
        <v>0</v>
      </c>
      <c r="G62" s="205">
        <f t="shared" si="3"/>
        <v>31193165.26441</v>
      </c>
      <c r="H62" s="205">
        <f t="shared" si="3"/>
        <v>27874795.99619</v>
      </c>
      <c r="I62" s="186">
        <f t="shared" si="3"/>
        <v>0</v>
      </c>
      <c r="J62" s="35"/>
    </row>
    <row r="63" ht="13.5" thickBot="1">
      <c r="J63" s="35"/>
    </row>
    <row r="64" spans="2:10" ht="13.5" thickBot="1">
      <c r="B64" s="26"/>
      <c r="C64" s="27"/>
      <c r="D64" s="28"/>
      <c r="E64" s="29" t="s">
        <v>393</v>
      </c>
      <c r="F64" s="30"/>
      <c r="G64" s="198"/>
      <c r="H64" s="199" t="s">
        <v>399</v>
      </c>
      <c r="I64" s="200"/>
      <c r="J64" s="35"/>
    </row>
    <row r="65" spans="2:10" ht="27" customHeight="1" thickBot="1">
      <c r="B65" s="31" t="s">
        <v>23</v>
      </c>
      <c r="C65" s="32" t="s">
        <v>18</v>
      </c>
      <c r="D65" s="5" t="s">
        <v>19</v>
      </c>
      <c r="E65" s="5" t="s">
        <v>20</v>
      </c>
      <c r="F65" s="201" t="s">
        <v>202</v>
      </c>
      <c r="G65" s="201" t="s">
        <v>19</v>
      </c>
      <c r="H65" s="201" t="s">
        <v>20</v>
      </c>
      <c r="I65" s="201" t="s">
        <v>202</v>
      </c>
      <c r="J65" s="35"/>
    </row>
    <row r="66" spans="2:10" ht="13.5" thickBot="1">
      <c r="B66" s="45"/>
      <c r="C66" s="30"/>
      <c r="D66" s="8">
        <v>241</v>
      </c>
      <c r="E66" s="8">
        <v>245</v>
      </c>
      <c r="F66" s="8">
        <v>243</v>
      </c>
      <c r="G66" s="188">
        <v>241</v>
      </c>
      <c r="H66" s="188">
        <v>245</v>
      </c>
      <c r="I66" s="188">
        <v>243</v>
      </c>
      <c r="J66" s="35"/>
    </row>
    <row r="67" spans="2:10" ht="12.75">
      <c r="B67" s="46" t="s">
        <v>4</v>
      </c>
      <c r="C67" s="47"/>
      <c r="D67" s="49">
        <f aca="true" t="shared" si="4" ref="D67:I76">D7+D22+D37+D52</f>
        <v>60201.35732</v>
      </c>
      <c r="E67" s="49">
        <f t="shared" si="4"/>
        <v>11681.491849999999</v>
      </c>
      <c r="F67" s="50">
        <f t="shared" si="4"/>
        <v>1145.591</v>
      </c>
      <c r="G67" s="207">
        <f t="shared" si="4"/>
        <v>24643.18794</v>
      </c>
      <c r="H67" s="207">
        <f t="shared" si="4"/>
        <v>16108.08979</v>
      </c>
      <c r="I67" s="208">
        <f t="shared" si="4"/>
        <v>1349.196</v>
      </c>
      <c r="J67" s="35"/>
    </row>
    <row r="68" spans="2:10" ht="12.75">
      <c r="B68" s="46" t="s">
        <v>420</v>
      </c>
      <c r="C68" s="47"/>
      <c r="D68" s="49">
        <f t="shared" si="4"/>
        <v>88032.23444000001</v>
      </c>
      <c r="E68" s="49">
        <f t="shared" si="4"/>
        <v>0</v>
      </c>
      <c r="F68" s="50">
        <f t="shared" si="4"/>
        <v>180.11021</v>
      </c>
      <c r="G68" s="207">
        <f t="shared" si="4"/>
        <v>111406.76203</v>
      </c>
      <c r="H68" s="207">
        <f t="shared" si="4"/>
        <v>0</v>
      </c>
      <c r="I68" s="208">
        <f t="shared" si="4"/>
        <v>48.26403</v>
      </c>
      <c r="J68" s="35"/>
    </row>
    <row r="69" spans="2:10" ht="12.75">
      <c r="B69" s="46" t="s">
        <v>421</v>
      </c>
      <c r="C69" s="47"/>
      <c r="D69" s="49">
        <f t="shared" si="4"/>
        <v>978.96324</v>
      </c>
      <c r="E69" s="48">
        <f t="shared" si="4"/>
        <v>0</v>
      </c>
      <c r="F69" s="50">
        <f t="shared" si="4"/>
        <v>79.50162</v>
      </c>
      <c r="G69" s="207">
        <f t="shared" si="4"/>
        <v>3566.8762500000003</v>
      </c>
      <c r="H69" s="206">
        <f t="shared" si="4"/>
        <v>0</v>
      </c>
      <c r="I69" s="208">
        <f t="shared" si="4"/>
        <v>58.50662</v>
      </c>
      <c r="J69" s="35"/>
    </row>
    <row r="70" spans="2:10" ht="12.75">
      <c r="B70" s="51" t="s">
        <v>6</v>
      </c>
      <c r="C70" s="52"/>
      <c r="D70" s="49">
        <f t="shared" si="4"/>
        <v>130796.12567000001</v>
      </c>
      <c r="E70" s="48">
        <f t="shared" si="4"/>
        <v>0</v>
      </c>
      <c r="F70" s="50">
        <f t="shared" si="4"/>
        <v>230.4186</v>
      </c>
      <c r="G70" s="207">
        <f t="shared" si="4"/>
        <v>73732.78769</v>
      </c>
      <c r="H70" s="206">
        <f t="shared" si="4"/>
        <v>0</v>
      </c>
      <c r="I70" s="208">
        <f t="shared" si="4"/>
        <v>67.23613</v>
      </c>
      <c r="J70" s="35"/>
    </row>
    <row r="71" spans="2:10" ht="12.75">
      <c r="B71" s="11" t="s">
        <v>190</v>
      </c>
      <c r="C71" s="52"/>
      <c r="D71" s="48">
        <f t="shared" si="4"/>
        <v>0</v>
      </c>
      <c r="E71" s="49">
        <f t="shared" si="4"/>
        <v>32050.055370000002</v>
      </c>
      <c r="F71" s="50">
        <f t="shared" si="4"/>
        <v>307.02967</v>
      </c>
      <c r="G71" s="206">
        <f t="shared" si="4"/>
        <v>0</v>
      </c>
      <c r="H71" s="207">
        <f t="shared" si="4"/>
        <v>49711.58262</v>
      </c>
      <c r="I71" s="208">
        <f t="shared" si="4"/>
        <v>238.00307</v>
      </c>
      <c r="J71" s="35"/>
    </row>
    <row r="72" spans="2:10" ht="12.75">
      <c r="B72" s="53" t="s">
        <v>7</v>
      </c>
      <c r="C72" s="52"/>
      <c r="D72" s="49">
        <f t="shared" si="4"/>
        <v>824.56449</v>
      </c>
      <c r="E72" s="48">
        <f t="shared" si="4"/>
        <v>0</v>
      </c>
      <c r="F72" s="54">
        <f t="shared" si="4"/>
        <v>0</v>
      </c>
      <c r="G72" s="207">
        <f t="shared" si="4"/>
        <v>825.59863</v>
      </c>
      <c r="H72" s="206">
        <f t="shared" si="4"/>
        <v>0</v>
      </c>
      <c r="I72" s="209">
        <f t="shared" si="4"/>
        <v>0</v>
      </c>
      <c r="J72" s="35"/>
    </row>
    <row r="73" spans="2:10" ht="12.75">
      <c r="B73" s="53" t="s">
        <v>422</v>
      </c>
      <c r="C73" s="52"/>
      <c r="D73" s="49">
        <f t="shared" si="4"/>
        <v>30134307.52</v>
      </c>
      <c r="E73" s="48">
        <f t="shared" si="4"/>
        <v>31755500.89</v>
      </c>
      <c r="F73" s="54">
        <f t="shared" si="4"/>
        <v>371549.79</v>
      </c>
      <c r="G73" s="207">
        <f t="shared" si="4"/>
        <v>29926491.09</v>
      </c>
      <c r="H73" s="206">
        <f t="shared" si="4"/>
        <v>33762812.17</v>
      </c>
      <c r="I73" s="209">
        <f t="shared" si="4"/>
        <v>42114.84</v>
      </c>
      <c r="J73" s="35"/>
    </row>
    <row r="74" spans="2:10" ht="12.75">
      <c r="B74" s="159" t="s">
        <v>191</v>
      </c>
      <c r="C74" s="52"/>
      <c r="D74" s="49">
        <f t="shared" si="4"/>
        <v>74230276.97</v>
      </c>
      <c r="E74" s="49">
        <f t="shared" si="4"/>
        <v>0</v>
      </c>
      <c r="F74" s="50">
        <f t="shared" si="4"/>
        <v>458158.07</v>
      </c>
      <c r="G74" s="207">
        <f t="shared" si="4"/>
        <v>99244139.83</v>
      </c>
      <c r="H74" s="207">
        <f t="shared" si="4"/>
        <v>0</v>
      </c>
      <c r="I74" s="208">
        <f t="shared" si="4"/>
        <v>273853.8</v>
      </c>
      <c r="J74" s="35"/>
    </row>
    <row r="75" spans="2:10" ht="12.75">
      <c r="B75" s="51" t="s">
        <v>8</v>
      </c>
      <c r="C75" s="52"/>
      <c r="D75" s="49">
        <f t="shared" si="4"/>
        <v>3407411.54</v>
      </c>
      <c r="E75" s="48">
        <f t="shared" si="4"/>
        <v>0</v>
      </c>
      <c r="F75" s="50">
        <f t="shared" si="4"/>
        <v>58545.86</v>
      </c>
      <c r="G75" s="207">
        <f t="shared" si="4"/>
        <v>3692508.0300000003</v>
      </c>
      <c r="H75" s="206">
        <f t="shared" si="4"/>
        <v>0</v>
      </c>
      <c r="I75" s="208">
        <f t="shared" si="4"/>
        <v>50996.91</v>
      </c>
      <c r="J75" s="35"/>
    </row>
    <row r="76" spans="2:10" ht="13.5" thickBot="1">
      <c r="B76" s="51" t="s">
        <v>9</v>
      </c>
      <c r="C76" s="55"/>
      <c r="D76" s="49">
        <f t="shared" si="4"/>
        <v>178869.66</v>
      </c>
      <c r="E76" s="48">
        <f t="shared" si="4"/>
        <v>0</v>
      </c>
      <c r="F76" s="50">
        <f t="shared" si="4"/>
        <v>50262.5</v>
      </c>
      <c r="G76" s="207">
        <f t="shared" si="4"/>
        <v>178869.66</v>
      </c>
      <c r="H76" s="206">
        <f t="shared" si="4"/>
        <v>0</v>
      </c>
      <c r="I76" s="208">
        <f t="shared" si="4"/>
        <v>35523</v>
      </c>
      <c r="J76" s="35"/>
    </row>
    <row r="77" spans="2:10" ht="13.5" thickBot="1">
      <c r="B77" s="17" t="s">
        <v>16</v>
      </c>
      <c r="C77" s="30"/>
      <c r="D77" s="18">
        <f aca="true" t="shared" si="5" ref="D77:I77">SUM(D67:D76)</f>
        <v>108231698.93516</v>
      </c>
      <c r="E77" s="18">
        <f t="shared" si="5"/>
        <v>31799232.43722</v>
      </c>
      <c r="F77" s="18">
        <f t="shared" si="5"/>
        <v>940458.8711</v>
      </c>
      <c r="G77" s="186">
        <f t="shared" si="5"/>
        <v>133256183.82254</v>
      </c>
      <c r="H77" s="186">
        <f t="shared" si="5"/>
        <v>33828631.84241</v>
      </c>
      <c r="I77" s="186">
        <f t="shared" si="5"/>
        <v>404249.75584999996</v>
      </c>
      <c r="J77" s="35"/>
    </row>
    <row r="78" ht="12.75">
      <c r="J78" s="35"/>
    </row>
    <row r="79" ht="12.75">
      <c r="J79" s="35"/>
    </row>
    <row r="80" ht="12.75">
      <c r="J80" s="35"/>
    </row>
    <row r="81" ht="12.75">
      <c r="J81" s="35"/>
    </row>
    <row r="82" ht="12.75">
      <c r="J82" s="35"/>
    </row>
    <row r="83" ht="12.75">
      <c r="J83" s="35"/>
    </row>
    <row r="84" ht="12.75">
      <c r="J84" s="35"/>
    </row>
    <row r="85" ht="12.75">
      <c r="J85" s="35"/>
    </row>
    <row r="86" ht="12.75">
      <c r="J86" s="35"/>
    </row>
    <row r="87" ht="12.75">
      <c r="J87" s="35"/>
    </row>
    <row r="88" ht="12.75">
      <c r="J88" s="35"/>
    </row>
    <row r="89" ht="12.75">
      <c r="J89" s="35"/>
    </row>
  </sheetData>
  <sheetProtection/>
  <printOptions horizontalCentered="1" verticalCentered="1"/>
  <pageMargins left="0" right="0" top="0.3937007874015748" bottom="0.3937007874015748" header="0.1968503937007874" footer="0.5118110236220472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zoomScale="80" zoomScaleNormal="80" zoomScalePageLayoutView="0" workbookViewId="0" topLeftCell="A16">
      <selection activeCell="E66" sqref="E65:E66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14.8515625" style="1" bestFit="1" customWidth="1"/>
    <col min="4" max="4" width="13.28125" style="1" customWidth="1"/>
    <col min="5" max="5" width="15.421875" style="1" customWidth="1"/>
    <col min="6" max="7" width="12.8515625" style="1" customWidth="1"/>
    <col min="8" max="8" width="12.00390625" style="1" customWidth="1"/>
    <col min="9" max="16384" width="9.140625" style="1" customWidth="1"/>
  </cols>
  <sheetData>
    <row r="1" ht="15.75">
      <c r="E1" s="2" t="s">
        <v>189</v>
      </c>
    </row>
    <row r="2" ht="15.75">
      <c r="B2" s="3" t="s">
        <v>400</v>
      </c>
    </row>
    <row r="3" ht="13.5" customHeight="1">
      <c r="B3" s="4" t="s">
        <v>0</v>
      </c>
    </row>
    <row r="4" ht="13.5" thickBot="1">
      <c r="E4" s="4" t="s">
        <v>1</v>
      </c>
    </row>
    <row r="5" spans="2:7" ht="43.5" customHeight="1" thickBot="1">
      <c r="B5" s="57"/>
      <c r="C5" s="283" t="s">
        <v>397</v>
      </c>
      <c r="D5" s="284" t="s">
        <v>2</v>
      </c>
      <c r="E5" s="280" t="s">
        <v>401</v>
      </c>
      <c r="F5" s="7"/>
      <c r="G5" s="7"/>
    </row>
    <row r="6" spans="2:7" ht="13.5" thickBot="1">
      <c r="B6" s="275" t="s">
        <v>3</v>
      </c>
      <c r="C6" s="285">
        <v>1</v>
      </c>
      <c r="D6" s="286">
        <v>2</v>
      </c>
      <c r="E6" s="276">
        <v>3</v>
      </c>
      <c r="G6" s="7"/>
    </row>
    <row r="7" spans="2:7" ht="13.5" thickTop="1">
      <c r="B7" s="278" t="s">
        <v>4</v>
      </c>
      <c r="C7" s="287">
        <f>penFondy!H6</f>
        <v>555.5710300000001</v>
      </c>
      <c r="D7" s="288">
        <v>215.4</v>
      </c>
      <c r="E7" s="281">
        <f aca="true" t="shared" si="0" ref="E7:E16">SUM(C7:D7)</f>
        <v>770.97103</v>
      </c>
      <c r="G7" s="7"/>
    </row>
    <row r="8" spans="2:7" ht="12.75">
      <c r="B8" s="51" t="s">
        <v>420</v>
      </c>
      <c r="C8" s="289">
        <f>penFondy!H7</f>
        <v>202.76485</v>
      </c>
      <c r="D8" s="203">
        <v>312</v>
      </c>
      <c r="E8" s="282">
        <f t="shared" si="0"/>
        <v>514.76485</v>
      </c>
      <c r="G8" s="7"/>
    </row>
    <row r="9" spans="2:7" ht="12.75">
      <c r="B9" s="51" t="s">
        <v>421</v>
      </c>
      <c r="C9" s="289">
        <f>penFondy!H8</f>
        <v>0</v>
      </c>
      <c r="D9" s="203">
        <v>247.44</v>
      </c>
      <c r="E9" s="282">
        <f t="shared" si="0"/>
        <v>247.44</v>
      </c>
      <c r="G9" s="7"/>
    </row>
    <row r="10" spans="2:7" ht="12.75">
      <c r="B10" s="51" t="s">
        <v>6</v>
      </c>
      <c r="C10" s="289">
        <f>penFondy!H9</f>
        <v>313.55523</v>
      </c>
      <c r="D10" s="203">
        <v>133.264</v>
      </c>
      <c r="E10" s="282">
        <f t="shared" si="0"/>
        <v>446.81923</v>
      </c>
      <c r="G10" s="7"/>
    </row>
    <row r="11" spans="2:7" ht="12.75">
      <c r="B11" s="51" t="s">
        <v>190</v>
      </c>
      <c r="C11" s="289">
        <f>penFondy!H10</f>
        <v>206.3274</v>
      </c>
      <c r="D11" s="203">
        <v>806.34</v>
      </c>
      <c r="E11" s="282">
        <f t="shared" si="0"/>
        <v>1012.6674</v>
      </c>
      <c r="G11" s="7"/>
    </row>
    <row r="12" spans="2:7" ht="12.75">
      <c r="B12" s="53" t="s">
        <v>7</v>
      </c>
      <c r="C12" s="289">
        <f>penFondy!H11</f>
        <v>0</v>
      </c>
      <c r="D12" s="203"/>
      <c r="E12" s="282">
        <f t="shared" si="0"/>
        <v>0</v>
      </c>
      <c r="G12" s="7"/>
    </row>
    <row r="13" spans="2:7" ht="12.75">
      <c r="B13" s="51" t="s">
        <v>422</v>
      </c>
      <c r="C13" s="289">
        <f>penFondy!H13</f>
        <v>0</v>
      </c>
      <c r="D13" s="203">
        <v>46.082</v>
      </c>
      <c r="E13" s="282">
        <f>SUM(C13:D13)</f>
        <v>46.082</v>
      </c>
      <c r="G13" s="7"/>
    </row>
    <row r="14" spans="2:7" ht="12.75">
      <c r="B14" s="159" t="s">
        <v>191</v>
      </c>
      <c r="C14" s="289">
        <f>penFondy!H13</f>
        <v>0</v>
      </c>
      <c r="D14" s="203"/>
      <c r="E14" s="282">
        <f t="shared" si="0"/>
        <v>0</v>
      </c>
      <c r="G14" s="7"/>
    </row>
    <row r="15" spans="2:7" ht="12.75">
      <c r="B15" s="51" t="s">
        <v>8</v>
      </c>
      <c r="C15" s="289">
        <f>penFondy!H14</f>
        <v>87.62498</v>
      </c>
      <c r="D15" s="204">
        <v>29.52</v>
      </c>
      <c r="E15" s="282">
        <f t="shared" si="0"/>
        <v>117.14497999999999</v>
      </c>
      <c r="G15" s="7"/>
    </row>
    <row r="16" spans="2:7" ht="13.5" thickBot="1">
      <c r="B16" s="51" t="s">
        <v>9</v>
      </c>
      <c r="C16" s="289">
        <f>penFondy!H15</f>
        <v>90.352</v>
      </c>
      <c r="D16" s="203">
        <v>8.195</v>
      </c>
      <c r="E16" s="282">
        <f t="shared" si="0"/>
        <v>98.547</v>
      </c>
      <c r="G16" s="7"/>
    </row>
    <row r="17" spans="2:7" ht="13.5" customHeight="1" thickBot="1">
      <c r="B17" s="279" t="s">
        <v>10</v>
      </c>
      <c r="C17" s="290">
        <f>SUM(C7:C16)</f>
        <v>1456.1954900000003</v>
      </c>
      <c r="D17" s="291">
        <f>SUM(D7:D16)</f>
        <v>1798.241</v>
      </c>
      <c r="E17" s="18">
        <f>SUM(E7:E16)</f>
        <v>3254.43649</v>
      </c>
      <c r="G17" s="7"/>
    </row>
    <row r="18" spans="2:7" ht="12.75" customHeight="1">
      <c r="B18" s="20"/>
      <c r="C18" s="21"/>
      <c r="D18" s="571"/>
      <c r="E18" s="22"/>
      <c r="F18" s="590" t="s">
        <v>680</v>
      </c>
      <c r="G18" s="591"/>
    </row>
    <row r="19" spans="4:7" ht="13.5" thickBot="1">
      <c r="D19" s="187"/>
      <c r="F19" s="569" t="s">
        <v>678</v>
      </c>
      <c r="G19" s="570" t="s">
        <v>679</v>
      </c>
    </row>
    <row r="20" spans="2:7" ht="13.5" thickBot="1">
      <c r="B20" s="275" t="s">
        <v>11</v>
      </c>
      <c r="C20" s="285">
        <v>1</v>
      </c>
      <c r="D20" s="293">
        <v>2</v>
      </c>
      <c r="E20" s="565">
        <v>3</v>
      </c>
      <c r="F20" s="562">
        <v>4</v>
      </c>
      <c r="G20" s="563">
        <v>5</v>
      </c>
    </row>
    <row r="21" spans="2:7" ht="13.5" thickTop="1">
      <c r="B21" s="278" t="s">
        <v>4</v>
      </c>
      <c r="C21" s="287">
        <f>penFondy!H34</f>
        <v>27323.071359999994</v>
      </c>
      <c r="D21" s="288">
        <v>2203.68186</v>
      </c>
      <c r="E21" s="566">
        <f aca="true" t="shared" si="1" ref="E21:E30">SUM(C21:D21)</f>
        <v>29526.753219999995</v>
      </c>
      <c r="F21" s="287">
        <v>24643.18794</v>
      </c>
      <c r="G21" s="288">
        <f>E21-F21</f>
        <v>4883.565279999995</v>
      </c>
    </row>
    <row r="22" spans="2:7" ht="12.75">
      <c r="B22" s="51" t="s">
        <v>420</v>
      </c>
      <c r="C22" s="289">
        <f>penFondy!H35</f>
        <v>110495.60462000001</v>
      </c>
      <c r="D22" s="203">
        <v>385.25106</v>
      </c>
      <c r="E22" s="567">
        <f t="shared" si="1"/>
        <v>110880.85568000001</v>
      </c>
      <c r="F22" s="289">
        <v>109975.45719</v>
      </c>
      <c r="G22" s="203">
        <f aca="true" t="shared" si="2" ref="G22:G30">E22-F22</f>
        <v>905.3984900000069</v>
      </c>
    </row>
    <row r="23" spans="2:7" ht="12.75">
      <c r="B23" s="51" t="s">
        <v>421</v>
      </c>
      <c r="C23" s="289">
        <f>penFondy!H36</f>
        <v>610.33392</v>
      </c>
      <c r="D23" s="203">
        <v>2116.21167</v>
      </c>
      <c r="E23" s="567">
        <f t="shared" si="1"/>
        <v>2726.54559</v>
      </c>
      <c r="F23" s="289"/>
      <c r="G23" s="203">
        <f t="shared" si="2"/>
        <v>2726.54559</v>
      </c>
    </row>
    <row r="24" spans="2:7" ht="12.75">
      <c r="B24" s="51" t="s">
        <v>6</v>
      </c>
      <c r="C24" s="289">
        <f>penFondy!H37</f>
        <v>70186.25704000003</v>
      </c>
      <c r="D24" s="203">
        <v>133.26435</v>
      </c>
      <c r="E24" s="567">
        <f t="shared" si="1"/>
        <v>70319.52139000002</v>
      </c>
      <c r="F24" s="289">
        <v>68680.02475</v>
      </c>
      <c r="G24" s="203">
        <f t="shared" si="2"/>
        <v>1639.4966400000267</v>
      </c>
    </row>
    <row r="25" spans="2:7" ht="12.75">
      <c r="B25" s="51" t="s">
        <v>190</v>
      </c>
      <c r="C25" s="289">
        <f>penFondy!H38</f>
        <v>21821.734230000002</v>
      </c>
      <c r="D25" s="203">
        <v>13242.05624</v>
      </c>
      <c r="E25" s="567">
        <f t="shared" si="1"/>
        <v>35063.79047</v>
      </c>
      <c r="F25" s="289">
        <v>12727.8237</v>
      </c>
      <c r="G25" s="203">
        <f t="shared" si="2"/>
        <v>22335.96677</v>
      </c>
    </row>
    <row r="26" spans="2:7" ht="12.75">
      <c r="B26" s="53" t="s">
        <v>7</v>
      </c>
      <c r="C26" s="289">
        <f>penFondy!H39</f>
        <v>370.99453000000005</v>
      </c>
      <c r="D26" s="203">
        <v>1.09624</v>
      </c>
      <c r="E26" s="567">
        <f>SUM(C26:D26)</f>
        <v>372.0907700000001</v>
      </c>
      <c r="F26" s="289"/>
      <c r="G26" s="203">
        <f t="shared" si="2"/>
        <v>372.0907700000001</v>
      </c>
    </row>
    <row r="27" spans="2:7" ht="12.75">
      <c r="B27" s="51" t="s">
        <v>422</v>
      </c>
      <c r="C27" s="289">
        <f>penFondy!H40</f>
        <v>32657.63491</v>
      </c>
      <c r="D27" s="204">
        <v>46.08271</v>
      </c>
      <c r="E27" s="568">
        <f t="shared" si="1"/>
        <v>32703.71762</v>
      </c>
      <c r="F27" s="289">
        <v>27156.60037</v>
      </c>
      <c r="G27" s="204">
        <f t="shared" si="2"/>
        <v>5547.117249999999</v>
      </c>
    </row>
    <row r="28" spans="2:7" ht="12.75">
      <c r="B28" s="159" t="s">
        <v>191</v>
      </c>
      <c r="C28" s="289">
        <f>penFondy!H41</f>
        <v>69992.47789</v>
      </c>
      <c r="D28" s="203">
        <v>3762.5562</v>
      </c>
      <c r="E28" s="567">
        <f t="shared" si="1"/>
        <v>73755.03409</v>
      </c>
      <c r="F28" s="289">
        <v>69325.70844</v>
      </c>
      <c r="G28" s="203">
        <f t="shared" si="2"/>
        <v>4429.325649999999</v>
      </c>
    </row>
    <row r="29" spans="2:7" ht="12.75">
      <c r="B29" s="51" t="s">
        <v>8</v>
      </c>
      <c r="C29" s="289">
        <f>penFondy!H42</f>
        <v>1736.05224</v>
      </c>
      <c r="D29" s="203">
        <v>302.32344</v>
      </c>
      <c r="E29" s="567">
        <f t="shared" si="1"/>
        <v>2038.37568</v>
      </c>
      <c r="F29" s="289">
        <v>16</v>
      </c>
      <c r="G29" s="203">
        <f t="shared" si="2"/>
        <v>2022.37568</v>
      </c>
    </row>
    <row r="30" spans="2:7" ht="13.5" thickBot="1">
      <c r="B30" s="51" t="s">
        <v>9</v>
      </c>
      <c r="C30" s="289">
        <f>penFondy!H43</f>
        <v>23.19766</v>
      </c>
      <c r="D30" s="203">
        <v>8.19571</v>
      </c>
      <c r="E30" s="567">
        <f t="shared" si="1"/>
        <v>31.393369999999997</v>
      </c>
      <c r="F30" s="289"/>
      <c r="G30" s="203">
        <f t="shared" si="2"/>
        <v>31.393369999999997</v>
      </c>
    </row>
    <row r="31" spans="2:7" ht="13.5" customHeight="1" thickBot="1">
      <c r="B31" s="279" t="s">
        <v>12</v>
      </c>
      <c r="C31" s="290">
        <f>SUM(C21:C30)</f>
        <v>335217.3584</v>
      </c>
      <c r="D31" s="294">
        <f>SUM(D21:D30)</f>
        <v>22200.719479999996</v>
      </c>
      <c r="E31" s="564">
        <f>SUM(E21:E30)</f>
        <v>357418.07788</v>
      </c>
      <c r="F31" s="290">
        <f>SUM(F21:F30)</f>
        <v>312524.80239</v>
      </c>
      <c r="G31" s="294">
        <f>SUM(G21:G30)</f>
        <v>44893.27549000002</v>
      </c>
    </row>
    <row r="32" ht="13.5" thickBot="1"/>
    <row r="33" spans="2:5" ht="13.5" thickBot="1">
      <c r="B33" s="275" t="s">
        <v>13</v>
      </c>
      <c r="C33" s="285">
        <v>1</v>
      </c>
      <c r="D33" s="286">
        <v>2</v>
      </c>
      <c r="E33" s="276">
        <v>3</v>
      </c>
    </row>
    <row r="34" spans="2:5" ht="13.5" thickTop="1">
      <c r="B34" s="278" t="s">
        <v>4</v>
      </c>
      <c r="C34" s="287">
        <f>penFondy!H48</f>
        <v>13794.271889999998</v>
      </c>
      <c r="D34" s="274"/>
      <c r="E34" s="295">
        <f aca="true" t="shared" si="3" ref="E34:E43">SUM(C34:D34)</f>
        <v>13794.271889999998</v>
      </c>
    </row>
    <row r="35" spans="2:5" ht="12.75">
      <c r="B35" s="51" t="s">
        <v>420</v>
      </c>
      <c r="C35" s="289">
        <f>penFondy!H49</f>
        <v>708.3925600000002</v>
      </c>
      <c r="D35" s="13"/>
      <c r="E35" s="282">
        <f t="shared" si="3"/>
        <v>708.3925600000002</v>
      </c>
    </row>
    <row r="36" spans="2:5" ht="12.75">
      <c r="B36" s="51" t="s">
        <v>421</v>
      </c>
      <c r="C36" s="289">
        <f>penFondy!H50</f>
        <v>2956.54233</v>
      </c>
      <c r="D36" s="203">
        <v>787.88376</v>
      </c>
      <c r="E36" s="282">
        <f t="shared" si="3"/>
        <v>3744.4260900000004</v>
      </c>
    </row>
    <row r="37" spans="2:5" ht="12.75">
      <c r="B37" s="51" t="s">
        <v>6</v>
      </c>
      <c r="C37" s="289">
        <f>penFondy!H51</f>
        <v>3232.9754199999998</v>
      </c>
      <c r="D37" s="13"/>
      <c r="E37" s="282">
        <f t="shared" si="3"/>
        <v>3232.9754199999998</v>
      </c>
    </row>
    <row r="38" spans="2:5" ht="12.75">
      <c r="B38" s="51" t="s">
        <v>190</v>
      </c>
      <c r="C38" s="289">
        <f>penFondy!H52</f>
        <v>51169.14291</v>
      </c>
      <c r="D38" s="13"/>
      <c r="E38" s="282">
        <f>SUM(C38:D38)</f>
        <v>51169.14291</v>
      </c>
    </row>
    <row r="39" spans="2:5" ht="12.75">
      <c r="B39" s="53" t="s">
        <v>7</v>
      </c>
      <c r="C39" s="289">
        <f>penFondy!H52</f>
        <v>51169.14291</v>
      </c>
      <c r="D39" s="13"/>
      <c r="E39" s="282">
        <f t="shared" si="3"/>
        <v>51169.14291</v>
      </c>
    </row>
    <row r="40" spans="2:5" ht="12.75">
      <c r="B40" s="51" t="s">
        <v>422</v>
      </c>
      <c r="C40" s="289">
        <f>penFondy!H53</f>
        <v>454.6041</v>
      </c>
      <c r="D40" s="16"/>
      <c r="E40" s="292">
        <f t="shared" si="3"/>
        <v>454.6041</v>
      </c>
    </row>
    <row r="41" spans="2:5" ht="12.75">
      <c r="B41" s="159" t="s">
        <v>191</v>
      </c>
      <c r="C41" s="289">
        <f>penFondy!H55</f>
        <v>29251.661939999995</v>
      </c>
      <c r="D41" s="13"/>
      <c r="E41" s="282">
        <f>SUM(C41:D41)</f>
        <v>29251.661939999995</v>
      </c>
    </row>
    <row r="42" spans="2:5" ht="12.75">
      <c r="B42" s="51" t="s">
        <v>8</v>
      </c>
      <c r="C42" s="289">
        <f>penFondy!H56</f>
        <v>1868.88972</v>
      </c>
      <c r="D42" s="13"/>
      <c r="E42" s="282">
        <f t="shared" si="3"/>
        <v>1868.88972</v>
      </c>
    </row>
    <row r="43" spans="2:5" ht="13.5" thickBot="1">
      <c r="B43" s="51" t="s">
        <v>9</v>
      </c>
      <c r="C43" s="296">
        <f>penFondy!H57</f>
        <v>65.32</v>
      </c>
      <c r="D43" s="13"/>
      <c r="E43" s="282">
        <f t="shared" si="3"/>
        <v>65.32</v>
      </c>
    </row>
    <row r="44" spans="2:7" ht="13.5" customHeight="1" thickBot="1">
      <c r="B44" s="279" t="s">
        <v>14</v>
      </c>
      <c r="C44" s="290">
        <f>SUM(C34:C43)</f>
        <v>154670.94378</v>
      </c>
      <c r="D44" s="294">
        <f>SUM(D34:D43)</f>
        <v>787.88376</v>
      </c>
      <c r="E44" s="164">
        <f>SUM(E34:E43)</f>
        <v>155458.82754</v>
      </c>
      <c r="G44" s="10"/>
    </row>
    <row r="45" spans="2:7" ht="13.5" thickBot="1">
      <c r="B45" s="20"/>
      <c r="C45" s="21"/>
      <c r="D45" s="22"/>
      <c r="E45" s="22"/>
      <c r="G45" s="10"/>
    </row>
    <row r="46" spans="2:5" ht="13.5" thickBot="1">
      <c r="B46" s="275" t="s">
        <v>15</v>
      </c>
      <c r="C46" s="285">
        <v>1</v>
      </c>
      <c r="D46" s="286">
        <v>2</v>
      </c>
      <c r="E46" s="276">
        <v>3</v>
      </c>
    </row>
    <row r="47" spans="2:5" ht="13.5" thickTop="1">
      <c r="B47" s="278" t="s">
        <v>4</v>
      </c>
      <c r="C47" s="298">
        <f>SUM(C7,C21,C34)</f>
        <v>41672.91427999999</v>
      </c>
      <c r="D47" s="277">
        <f aca="true" t="shared" si="4" ref="D47:E50">D7+D21+D34</f>
        <v>2419.0818600000002</v>
      </c>
      <c r="E47" s="295">
        <f t="shared" si="4"/>
        <v>44091.996139999996</v>
      </c>
    </row>
    <row r="48" spans="2:5" ht="12.75">
      <c r="B48" s="51" t="s">
        <v>420</v>
      </c>
      <c r="C48" s="299">
        <f>SUM(C8,C22,C35)</f>
        <v>111406.76203000001</v>
      </c>
      <c r="D48" s="19">
        <f t="shared" si="4"/>
        <v>697.25106</v>
      </c>
      <c r="E48" s="297">
        <f t="shared" si="4"/>
        <v>112104.01309000002</v>
      </c>
    </row>
    <row r="49" spans="2:5" ht="12.75">
      <c r="B49" s="51" t="s">
        <v>421</v>
      </c>
      <c r="C49" s="299">
        <f>SUM(C9,C23,C36)</f>
        <v>3566.8762500000003</v>
      </c>
      <c r="D49" s="19">
        <f t="shared" si="4"/>
        <v>3151.5354300000004</v>
      </c>
      <c r="E49" s="297">
        <f t="shared" si="4"/>
        <v>6718.411680000001</v>
      </c>
    </row>
    <row r="50" spans="2:5" ht="12.75">
      <c r="B50" s="51" t="s">
        <v>6</v>
      </c>
      <c r="C50" s="299">
        <f>SUM(C10,C24,C37)</f>
        <v>73732.78769000003</v>
      </c>
      <c r="D50" s="19">
        <f t="shared" si="4"/>
        <v>266.52835000000005</v>
      </c>
      <c r="E50" s="297">
        <f t="shared" si="4"/>
        <v>73999.31604000002</v>
      </c>
    </row>
    <row r="51" spans="2:5" ht="12.75">
      <c r="B51" s="51" t="s">
        <v>190</v>
      </c>
      <c r="C51" s="299">
        <f>SUM(C11,C25,C39)</f>
        <v>73197.20454</v>
      </c>
      <c r="D51" s="19">
        <f aca="true" t="shared" si="5" ref="D51:D56">D11+D25+D38</f>
        <v>14048.39624</v>
      </c>
      <c r="E51" s="297">
        <f>E11+E25+E39</f>
        <v>87245.60078000001</v>
      </c>
    </row>
    <row r="52" spans="2:5" ht="12.75">
      <c r="B52" s="53" t="s">
        <v>7</v>
      </c>
      <c r="C52" s="299">
        <f>SUM(C12,C27,C40)</f>
        <v>33112.23901</v>
      </c>
      <c r="D52" s="19">
        <f t="shared" si="5"/>
        <v>1.09624</v>
      </c>
      <c r="E52" s="297">
        <f>E12+E27+E40</f>
        <v>33158.32172</v>
      </c>
    </row>
    <row r="53" spans="2:5" ht="12.75">
      <c r="B53" s="51" t="s">
        <v>422</v>
      </c>
      <c r="C53" s="299">
        <f>SUM(C13,C28,C41)</f>
        <v>99244.13982999999</v>
      </c>
      <c r="D53" s="19">
        <f t="shared" si="5"/>
        <v>92.16471</v>
      </c>
      <c r="E53" s="297">
        <f>E13+E28+E41</f>
        <v>103052.77802999999</v>
      </c>
    </row>
    <row r="54" spans="2:5" ht="12.75">
      <c r="B54" s="159" t="s">
        <v>191</v>
      </c>
      <c r="C54" s="299">
        <f>SUM(C14,C28,C41)</f>
        <v>99244.13982999999</v>
      </c>
      <c r="D54" s="19">
        <f t="shared" si="5"/>
        <v>3762.5562</v>
      </c>
      <c r="E54" s="297">
        <f>E14+E28+E41</f>
        <v>103006.69602999999</v>
      </c>
    </row>
    <row r="55" spans="2:5" ht="12.75">
      <c r="B55" s="51" t="s">
        <v>8</v>
      </c>
      <c r="C55" s="299">
        <f>SUM(C15,C29,C42)</f>
        <v>3692.5669399999997</v>
      </c>
      <c r="D55" s="19">
        <f t="shared" si="5"/>
        <v>331.84344</v>
      </c>
      <c r="E55" s="297">
        <f>E15+E29+E42</f>
        <v>4024.4103800000003</v>
      </c>
    </row>
    <row r="56" spans="2:5" ht="13.5" thickBot="1">
      <c r="B56" s="51" t="s">
        <v>9</v>
      </c>
      <c r="C56" s="299">
        <f>SUM(C16,C30,C43)</f>
        <v>178.86966</v>
      </c>
      <c r="D56" s="19">
        <f t="shared" si="5"/>
        <v>16.39071</v>
      </c>
      <c r="E56" s="297">
        <f>E16+E30+E43</f>
        <v>195.26037</v>
      </c>
    </row>
    <row r="57" spans="2:7" ht="13.5" customHeight="1" thickBot="1">
      <c r="B57" s="279" t="s">
        <v>16</v>
      </c>
      <c r="C57" s="300">
        <f>SUM(C47:C56)</f>
        <v>539048.5000600001</v>
      </c>
      <c r="D57" s="294">
        <f>SUM(D47:D56)</f>
        <v>24786.84424</v>
      </c>
      <c r="E57" s="164">
        <f>SUM(E47:E56)</f>
        <v>567596.8042600001</v>
      </c>
      <c r="G57" s="10"/>
    </row>
  </sheetData>
  <sheetProtection/>
  <mergeCells count="1">
    <mergeCell ref="F18:G18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20.140625" style="0" customWidth="1"/>
    <col min="2" max="5" width="12.7109375" style="0" bestFit="1" customWidth="1"/>
    <col min="6" max="6" width="10.421875" style="0" bestFit="1" customWidth="1"/>
    <col min="7" max="7" width="12.57421875" style="0" bestFit="1" customWidth="1"/>
    <col min="8" max="9" width="14.421875" style="0" bestFit="1" customWidth="1"/>
    <col min="10" max="10" width="10.7109375" style="0" customWidth="1"/>
    <col min="11" max="11" width="16.00390625" style="0" customWidth="1"/>
    <col min="12" max="12" width="17.421875" style="0" bestFit="1" customWidth="1"/>
  </cols>
  <sheetData>
    <row r="1" ht="12.75">
      <c r="I1" s="265" t="s">
        <v>363</v>
      </c>
    </row>
    <row r="3" spans="1:9" ht="24.75" customHeight="1">
      <c r="A3" s="572" t="s">
        <v>645</v>
      </c>
      <c r="B3" s="573"/>
      <c r="C3" s="573"/>
      <c r="D3" s="573"/>
      <c r="E3" s="573"/>
      <c r="F3" s="573"/>
      <c r="G3" s="573"/>
      <c r="H3" s="573"/>
      <c r="I3" s="573"/>
    </row>
    <row r="4" spans="1:9" ht="12.75">
      <c r="A4" s="361"/>
      <c r="B4" s="362"/>
      <c r="C4" s="362"/>
      <c r="D4" s="362"/>
      <c r="E4" s="362"/>
      <c r="F4" s="362"/>
      <c r="G4" s="362"/>
      <c r="H4" s="362"/>
      <c r="I4" t="s">
        <v>1</v>
      </c>
    </row>
    <row r="5" spans="1:9" ht="30">
      <c r="A5" s="272" t="s">
        <v>407</v>
      </c>
      <c r="B5" s="267" t="s">
        <v>364</v>
      </c>
      <c r="C5" s="267" t="s">
        <v>365</v>
      </c>
      <c r="D5" s="268" t="s">
        <v>133</v>
      </c>
      <c r="E5" s="267" t="s">
        <v>366</v>
      </c>
      <c r="F5" s="267" t="s">
        <v>21</v>
      </c>
      <c r="G5" s="268" t="s">
        <v>367</v>
      </c>
      <c r="H5" s="267" t="s">
        <v>368</v>
      </c>
      <c r="I5" s="267" t="s">
        <v>102</v>
      </c>
    </row>
    <row r="6" spans="1:9" ht="15">
      <c r="A6" s="268" t="s">
        <v>369</v>
      </c>
      <c r="B6" s="515">
        <f>UR12!C8+UR12!C9+UR12!C10</f>
        <v>1739</v>
      </c>
      <c r="C6" s="515">
        <f>UR12!D8+UR12!D9+UR12!D10</f>
        <v>822</v>
      </c>
      <c r="D6" s="463">
        <f>B6+C6</f>
        <v>2561</v>
      </c>
      <c r="E6" s="515">
        <f>UR12!F8+UR12!F9+UR12!F10</f>
        <v>510</v>
      </c>
      <c r="F6" s="515">
        <f>UR12!G8+UR12!G9+UR12!G10</f>
        <v>0</v>
      </c>
      <c r="G6" s="463">
        <f>SUM(E6:F6)</f>
        <v>510</v>
      </c>
      <c r="H6" s="463">
        <f>UR12!J8+UR12!J9+UR12!J10</f>
        <v>3</v>
      </c>
      <c r="I6" s="463">
        <f>D6+G6+H6</f>
        <v>3074</v>
      </c>
    </row>
    <row r="7" spans="1:9" ht="15">
      <c r="A7" s="268" t="s">
        <v>370</v>
      </c>
      <c r="B7" s="515">
        <f>'EU '!C9</f>
        <v>7781.07</v>
      </c>
      <c r="C7" s="515">
        <f>'EU '!D9</f>
        <v>27577.23</v>
      </c>
      <c r="D7" s="463">
        <f>B7+C7</f>
        <v>35358.3</v>
      </c>
      <c r="E7" s="515">
        <f>'EU '!E9</f>
        <v>9935.055</v>
      </c>
      <c r="F7" s="515">
        <f>'EU '!F9</f>
        <v>155.89</v>
      </c>
      <c r="G7" s="463">
        <f>SUM(E7:F7)</f>
        <v>10090.945</v>
      </c>
      <c r="H7" s="515">
        <f>'EU '!G9</f>
        <v>8285.8</v>
      </c>
      <c r="I7" s="463">
        <f>D7+G7+H7</f>
        <v>53735.045</v>
      </c>
    </row>
    <row r="8" spans="1:9" ht="15">
      <c r="A8" s="268" t="s">
        <v>371</v>
      </c>
      <c r="B8" s="463">
        <f>'EU '!C12</f>
        <v>1373.13</v>
      </c>
      <c r="C8" s="463">
        <f>'EU '!D12</f>
        <v>4866.57</v>
      </c>
      <c r="D8" s="463">
        <f>B8+C8</f>
        <v>6239.7</v>
      </c>
      <c r="E8" s="463">
        <f>'EU '!E12</f>
        <v>1753.245</v>
      </c>
      <c r="F8" s="463">
        <f>'EU '!F12</f>
        <v>27.51</v>
      </c>
      <c r="G8" s="463">
        <f>SUM(E8:F8)</f>
        <v>1780.7549999999999</v>
      </c>
      <c r="H8" s="463">
        <f>'EU '!G12</f>
        <v>1462.2</v>
      </c>
      <c r="I8" s="463">
        <f>D8+G8+H8</f>
        <v>9482.655</v>
      </c>
    </row>
    <row r="9" spans="1:9" ht="15">
      <c r="A9" s="266" t="s">
        <v>372</v>
      </c>
      <c r="B9" s="464">
        <f>B6+B7+B8</f>
        <v>10893.2</v>
      </c>
      <c r="C9" s="464">
        <f>C6+C7+C8</f>
        <v>33265.8</v>
      </c>
      <c r="D9" s="464">
        <f>B9+C9</f>
        <v>44159</v>
      </c>
      <c r="E9" s="464">
        <f>E6+E7+E8</f>
        <v>12198.3</v>
      </c>
      <c r="F9" s="464">
        <f>F6+F7+F8</f>
        <v>183.39999999999998</v>
      </c>
      <c r="G9" s="464">
        <f>G6+G7+G8</f>
        <v>12381.699999999999</v>
      </c>
      <c r="H9" s="464">
        <f>H6+H7+H8</f>
        <v>9751</v>
      </c>
      <c r="I9" s="464">
        <f>D9+G9+H9</f>
        <v>66291.7</v>
      </c>
    </row>
    <row r="10" spans="1:9" ht="15">
      <c r="A10" s="268" t="s">
        <v>373</v>
      </c>
      <c r="B10" s="463"/>
      <c r="C10" s="463"/>
      <c r="D10" s="463"/>
      <c r="E10" s="463"/>
      <c r="F10" s="463"/>
      <c r="G10" s="463"/>
      <c r="H10" s="463"/>
      <c r="I10" s="464">
        <f>2986.75+21980.047</f>
        <v>24966.797</v>
      </c>
    </row>
    <row r="11" spans="1:9" ht="15">
      <c r="A11" s="268" t="s">
        <v>374</v>
      </c>
      <c r="B11" s="463"/>
      <c r="C11" s="463"/>
      <c r="D11" s="463"/>
      <c r="E11" s="463"/>
      <c r="F11" s="463"/>
      <c r="G11" s="463"/>
      <c r="H11" s="463"/>
      <c r="I11" s="463">
        <f>I6</f>
        <v>3074</v>
      </c>
    </row>
    <row r="12" spans="1:12" ht="15">
      <c r="A12" s="269" t="s">
        <v>375</v>
      </c>
      <c r="B12" s="516">
        <v>201.87</v>
      </c>
      <c r="C12" s="516">
        <v>16802.719</v>
      </c>
      <c r="D12" s="465">
        <f>B12+C12</f>
        <v>17004.589</v>
      </c>
      <c r="E12" s="516">
        <f>G12-F12</f>
        <v>4467.555</v>
      </c>
      <c r="F12" s="516">
        <v>5.7</v>
      </c>
      <c r="G12" s="516">
        <f>4467.555+5.7</f>
        <v>4473.255</v>
      </c>
      <c r="H12" s="516">
        <v>502.20222</v>
      </c>
      <c r="I12" s="465">
        <f>B12+C12+F12+E12+H12</f>
        <v>21980.04622</v>
      </c>
      <c r="K12" s="518"/>
      <c r="L12" s="518"/>
    </row>
    <row r="13" spans="2:9" ht="15">
      <c r="B13" s="517" t="s">
        <v>656</v>
      </c>
      <c r="C13" s="518"/>
      <c r="D13" s="518"/>
      <c r="E13" s="518"/>
      <c r="F13" s="518"/>
      <c r="G13" s="518"/>
      <c r="H13" s="518"/>
      <c r="I13" s="466">
        <f>I10-I9</f>
        <v>-41324.903</v>
      </c>
    </row>
    <row r="14" spans="1:9" ht="12.75">
      <c r="A14" s="361"/>
      <c r="B14" s="519"/>
      <c r="C14" s="519"/>
      <c r="D14" s="519"/>
      <c r="E14" s="519"/>
      <c r="F14" s="519"/>
      <c r="G14" s="519"/>
      <c r="H14" s="519"/>
      <c r="I14" s="518" t="s">
        <v>1</v>
      </c>
    </row>
    <row r="15" spans="1:9" ht="30">
      <c r="A15" s="272" t="s">
        <v>408</v>
      </c>
      <c r="B15" s="520" t="s">
        <v>364</v>
      </c>
      <c r="C15" s="520" t="s">
        <v>365</v>
      </c>
      <c r="D15" s="521" t="s">
        <v>133</v>
      </c>
      <c r="E15" s="520" t="s">
        <v>366</v>
      </c>
      <c r="F15" s="520" t="s">
        <v>21</v>
      </c>
      <c r="G15" s="521" t="s">
        <v>367</v>
      </c>
      <c r="H15" s="520" t="s">
        <v>368</v>
      </c>
      <c r="I15" s="520" t="s">
        <v>102</v>
      </c>
    </row>
    <row r="16" spans="1:9" ht="15">
      <c r="A16" s="268" t="s">
        <v>369</v>
      </c>
      <c r="B16" s="515">
        <f>UR12!C13+UR12!C14+UR12!C15+UR12!C16</f>
        <v>4157</v>
      </c>
      <c r="C16" s="515">
        <f>UR12!D13+UR12!D14+UR12!D15+UR12!D16</f>
        <v>1387</v>
      </c>
      <c r="D16" s="463">
        <f>B16+C16</f>
        <v>5544</v>
      </c>
      <c r="E16" s="515">
        <f>UR12!F13+UR12!F14+UR12!F15+UR12!F16</f>
        <v>0</v>
      </c>
      <c r="F16" s="515">
        <f>UR12!G13+UR12!G14+UR12!G15+UR12!G16</f>
        <v>0</v>
      </c>
      <c r="G16" s="463">
        <f>SUM(E16:F16)</f>
        <v>0</v>
      </c>
      <c r="H16" s="463">
        <f>UR12!J13+UR12!J14+UR12!J15+UR12!J16</f>
        <v>110</v>
      </c>
      <c r="I16" s="463">
        <f>D16+G16+H16</f>
        <v>5654</v>
      </c>
    </row>
    <row r="17" spans="1:9" ht="15">
      <c r="A17" s="268" t="s">
        <v>370</v>
      </c>
      <c r="B17" s="515">
        <f>'EU '!C20</f>
        <v>4351.235000000001</v>
      </c>
      <c r="C17" s="515">
        <f>'EU '!D20</f>
        <v>1295.315</v>
      </c>
      <c r="D17" s="463">
        <f>B17+C17</f>
        <v>5646.550000000001</v>
      </c>
      <c r="E17" s="515">
        <f>'EU '!E20</f>
        <v>1946.84</v>
      </c>
      <c r="F17" s="515">
        <f>'EU '!F20</f>
        <v>87.21</v>
      </c>
      <c r="G17" s="463">
        <f>SUM(E17:F17)</f>
        <v>2034.05</v>
      </c>
      <c r="H17" s="515">
        <f>'EU '!G20</f>
        <v>7214.375</v>
      </c>
      <c r="I17" s="463">
        <f>D17+G17+H17</f>
        <v>14894.975000000002</v>
      </c>
    </row>
    <row r="18" spans="1:9" ht="15">
      <c r="A18" s="268" t="s">
        <v>371</v>
      </c>
      <c r="B18" s="463">
        <f>'EU '!C23</f>
        <v>767.865</v>
      </c>
      <c r="C18" s="463">
        <f>'EU '!D23</f>
        <v>228.58499999999998</v>
      </c>
      <c r="D18" s="463">
        <f>B18+C18</f>
        <v>996.45</v>
      </c>
      <c r="E18" s="463">
        <f>'EU '!E23</f>
        <v>343.56000000000006</v>
      </c>
      <c r="F18" s="463">
        <f>'EU '!F23</f>
        <v>15.39</v>
      </c>
      <c r="G18" s="463">
        <f>SUM(E18:F18)</f>
        <v>358.95000000000005</v>
      </c>
      <c r="H18" s="463">
        <f>'EU '!G23</f>
        <v>1273.125</v>
      </c>
      <c r="I18" s="463">
        <f>D18+G18+H18</f>
        <v>2628.525</v>
      </c>
    </row>
    <row r="19" spans="1:9" ht="15">
      <c r="A19" s="266" t="s">
        <v>372</v>
      </c>
      <c r="B19" s="464">
        <f>B16+B17+B18</f>
        <v>9276.1</v>
      </c>
      <c r="C19" s="464">
        <f>C16+C17+C18</f>
        <v>2910.9</v>
      </c>
      <c r="D19" s="464">
        <f>B19+C19</f>
        <v>12187</v>
      </c>
      <c r="E19" s="464">
        <f>E16+E17+E18</f>
        <v>2290.4</v>
      </c>
      <c r="F19" s="464">
        <f>F16+F17+F18</f>
        <v>102.6</v>
      </c>
      <c r="G19" s="464">
        <f>G16+G17+G18</f>
        <v>2393</v>
      </c>
      <c r="H19" s="464">
        <f>H16+H17+H18</f>
        <v>8597.5</v>
      </c>
      <c r="I19" s="464">
        <f>D19+G19+H19</f>
        <v>23177.5</v>
      </c>
    </row>
    <row r="20" spans="1:9" ht="15">
      <c r="A20" s="268" t="s">
        <v>373</v>
      </c>
      <c r="B20" s="463"/>
      <c r="C20" s="463"/>
      <c r="D20" s="463"/>
      <c r="E20" s="463"/>
      <c r="F20" s="463"/>
      <c r="G20" s="463"/>
      <c r="H20" s="463"/>
      <c r="I20" s="464">
        <f>5498.391+5184.245</f>
        <v>10682.635999999999</v>
      </c>
    </row>
    <row r="21" spans="1:9" ht="15">
      <c r="A21" s="268" t="s">
        <v>374</v>
      </c>
      <c r="B21" s="463"/>
      <c r="C21" s="463"/>
      <c r="D21" s="463"/>
      <c r="E21" s="463"/>
      <c r="F21" s="463"/>
      <c r="G21" s="463"/>
      <c r="H21" s="463"/>
      <c r="I21" s="463">
        <f>I16</f>
        <v>5654</v>
      </c>
    </row>
    <row r="22" spans="1:12" ht="15">
      <c r="A22" s="269" t="s">
        <v>375</v>
      </c>
      <c r="B22" s="516">
        <v>1508.531</v>
      </c>
      <c r="C22" s="516">
        <v>802.881</v>
      </c>
      <c r="D22" s="465">
        <f>B22+C22</f>
        <v>2311.412</v>
      </c>
      <c r="E22" s="516">
        <f>G22-F22</f>
        <v>496.417</v>
      </c>
      <c r="F22" s="516">
        <v>0</v>
      </c>
      <c r="G22" s="516">
        <v>496.417</v>
      </c>
      <c r="H22" s="516">
        <v>2371.41582</v>
      </c>
      <c r="I22" s="465">
        <f>B22+C22+F22+E22+H22</f>
        <v>5179.24482</v>
      </c>
      <c r="K22" s="518"/>
      <c r="L22" s="518"/>
    </row>
    <row r="23" spans="2:9" ht="15">
      <c r="B23" s="517" t="s">
        <v>656</v>
      </c>
      <c r="C23" s="518"/>
      <c r="D23" s="518"/>
      <c r="E23" s="518"/>
      <c r="F23" s="518"/>
      <c r="G23" s="518"/>
      <c r="H23" s="518"/>
      <c r="I23" s="466">
        <f>I20-I19</f>
        <v>-12494.864000000001</v>
      </c>
    </row>
    <row r="24" spans="1:9" ht="12.75">
      <c r="A24" s="361"/>
      <c r="B24" s="519"/>
      <c r="C24" s="519"/>
      <c r="D24" s="519"/>
      <c r="E24" s="519"/>
      <c r="F24" s="519"/>
      <c r="G24" s="519"/>
      <c r="H24" s="519"/>
      <c r="I24" s="518" t="s">
        <v>1</v>
      </c>
    </row>
    <row r="25" spans="1:9" ht="30">
      <c r="A25" s="272" t="s">
        <v>409</v>
      </c>
      <c r="B25" s="520" t="s">
        <v>364</v>
      </c>
      <c r="C25" s="520" t="s">
        <v>365</v>
      </c>
      <c r="D25" s="521" t="s">
        <v>133</v>
      </c>
      <c r="E25" s="520" t="s">
        <v>366</v>
      </c>
      <c r="F25" s="520" t="s">
        <v>21</v>
      </c>
      <c r="G25" s="521" t="s">
        <v>367</v>
      </c>
      <c r="H25" s="520" t="s">
        <v>368</v>
      </c>
      <c r="I25" s="520" t="s">
        <v>102</v>
      </c>
    </row>
    <row r="26" spans="1:9" ht="15">
      <c r="A26" s="268" t="s">
        <v>369</v>
      </c>
      <c r="B26" s="515">
        <f>UR12!C19</f>
        <v>661</v>
      </c>
      <c r="C26" s="515">
        <f>UR12!D19</f>
        <v>74</v>
      </c>
      <c r="D26" s="463">
        <f>B26+C26</f>
        <v>735</v>
      </c>
      <c r="E26" s="515">
        <f>UR12!F19</f>
        <v>313</v>
      </c>
      <c r="F26" s="515">
        <f>UR12!G19</f>
        <v>9</v>
      </c>
      <c r="G26" s="463">
        <f>SUM(E26:F26)</f>
        <v>322</v>
      </c>
      <c r="H26" s="463">
        <f>UR12!J19</f>
        <v>1313</v>
      </c>
      <c r="I26" s="463">
        <f>D26+G26+H26</f>
        <v>2370</v>
      </c>
    </row>
    <row r="27" spans="1:9" ht="15">
      <c r="A27" s="268" t="s">
        <v>370</v>
      </c>
      <c r="B27" s="515"/>
      <c r="C27" s="515"/>
      <c r="D27" s="463">
        <f>B27+C27</f>
        <v>0</v>
      </c>
      <c r="E27" s="463"/>
      <c r="F27" s="463"/>
      <c r="G27" s="463">
        <f>SUM(E27:F27)</f>
        <v>0</v>
      </c>
      <c r="H27" s="463"/>
      <c r="I27" s="463">
        <f>D27+G27+H27</f>
        <v>0</v>
      </c>
    </row>
    <row r="28" spans="1:9" ht="15">
      <c r="A28" s="268" t="s">
        <v>371</v>
      </c>
      <c r="B28" s="463">
        <f>'EU '!C27</f>
        <v>0</v>
      </c>
      <c r="C28" s="463">
        <f>'EU '!D27</f>
        <v>0</v>
      </c>
      <c r="D28" s="463">
        <f>B28+C28</f>
        <v>0</v>
      </c>
      <c r="E28" s="463">
        <f>'EU '!E27</f>
        <v>0</v>
      </c>
      <c r="F28" s="463">
        <f>'EU '!F27</f>
        <v>0</v>
      </c>
      <c r="G28" s="463">
        <f>SUM(E28:F28)</f>
        <v>0</v>
      </c>
      <c r="H28" s="463">
        <f>'EU '!G27</f>
        <v>68</v>
      </c>
      <c r="I28" s="463">
        <f>D28+G28+H28</f>
        <v>68</v>
      </c>
    </row>
    <row r="29" spans="1:9" ht="15">
      <c r="A29" s="266" t="s">
        <v>372</v>
      </c>
      <c r="B29" s="464">
        <f>B26+B27+B28</f>
        <v>661</v>
      </c>
      <c r="C29" s="464">
        <f>C26+C27+C28</f>
        <v>74</v>
      </c>
      <c r="D29" s="464">
        <f>B29+C29</f>
        <v>735</v>
      </c>
      <c r="E29" s="464">
        <f>E26+E27+E28</f>
        <v>313</v>
      </c>
      <c r="F29" s="464">
        <f>F26+F27+F28</f>
        <v>9</v>
      </c>
      <c r="G29" s="464">
        <f>G26+G27+G28</f>
        <v>322</v>
      </c>
      <c r="H29" s="464">
        <f>H26+H27+H28</f>
        <v>1381</v>
      </c>
      <c r="I29" s="464">
        <f>D29+G29+H29</f>
        <v>2438</v>
      </c>
    </row>
    <row r="30" spans="1:9" ht="15">
      <c r="A30" s="268" t="s">
        <v>373</v>
      </c>
      <c r="B30" s="463"/>
      <c r="C30" s="463"/>
      <c r="D30" s="463"/>
      <c r="E30" s="463"/>
      <c r="F30" s="463"/>
      <c r="G30" s="463"/>
      <c r="H30" s="463"/>
      <c r="I30" s="464">
        <v>2370</v>
      </c>
    </row>
    <row r="31" spans="1:9" ht="15">
      <c r="A31" s="268" t="s">
        <v>374</v>
      </c>
      <c r="B31" s="463"/>
      <c r="C31" s="463"/>
      <c r="D31" s="463"/>
      <c r="E31" s="463"/>
      <c r="F31" s="463"/>
      <c r="G31" s="463"/>
      <c r="H31" s="463"/>
      <c r="I31" s="463">
        <f>I26</f>
        <v>2370</v>
      </c>
    </row>
    <row r="32" spans="1:12" ht="15">
      <c r="A32" s="269" t="s">
        <v>375</v>
      </c>
      <c r="B32" s="516"/>
      <c r="C32" s="516"/>
      <c r="D32" s="465">
        <f>B32+C32</f>
        <v>0</v>
      </c>
      <c r="E32" s="516">
        <f>G32-F32</f>
        <v>0</v>
      </c>
      <c r="F32" s="516">
        <f>B32*0.01</f>
        <v>0</v>
      </c>
      <c r="G32" s="516"/>
      <c r="H32" s="516"/>
      <c r="I32" s="465">
        <f>B32+C32+F32+E32+H32</f>
        <v>0</v>
      </c>
      <c r="J32" t="s">
        <v>655</v>
      </c>
      <c r="K32" s="518"/>
      <c r="L32" s="518"/>
    </row>
    <row r="33" spans="2:9" ht="15">
      <c r="B33" s="517" t="s">
        <v>656</v>
      </c>
      <c r="C33" s="518"/>
      <c r="D33" s="518"/>
      <c r="E33" s="518"/>
      <c r="F33" s="518"/>
      <c r="G33" s="518"/>
      <c r="H33" s="518"/>
      <c r="I33" s="466">
        <f>I30-I29</f>
        <v>-68</v>
      </c>
    </row>
    <row r="34" spans="1:9" ht="12.75">
      <c r="A34" s="361"/>
      <c r="B34" s="519"/>
      <c r="C34" s="519"/>
      <c r="D34" s="519"/>
      <c r="E34" s="519"/>
      <c r="F34" s="519"/>
      <c r="G34" s="519"/>
      <c r="H34" s="519"/>
      <c r="I34" s="518" t="s">
        <v>1</v>
      </c>
    </row>
    <row r="35" spans="1:9" ht="30">
      <c r="A35" s="272" t="s">
        <v>410</v>
      </c>
      <c r="B35" s="520" t="s">
        <v>364</v>
      </c>
      <c r="C35" s="520" t="s">
        <v>365</v>
      </c>
      <c r="D35" s="521" t="s">
        <v>133</v>
      </c>
      <c r="E35" s="520" t="s">
        <v>366</v>
      </c>
      <c r="F35" s="520" t="s">
        <v>21</v>
      </c>
      <c r="G35" s="521" t="s">
        <v>367</v>
      </c>
      <c r="H35" s="520" t="s">
        <v>368</v>
      </c>
      <c r="I35" s="520" t="s">
        <v>102</v>
      </c>
    </row>
    <row r="36" spans="1:9" ht="15">
      <c r="A36" s="268" t="s">
        <v>369</v>
      </c>
      <c r="B36" s="515">
        <f>UR12!C22</f>
        <v>0</v>
      </c>
      <c r="C36" s="515">
        <f>UR12!D22</f>
        <v>0</v>
      </c>
      <c r="D36" s="463">
        <f>B36+C36</f>
        <v>0</v>
      </c>
      <c r="E36" s="515">
        <f>UR12!F22</f>
        <v>0</v>
      </c>
      <c r="F36" s="515">
        <f>UR12!G22</f>
        <v>0</v>
      </c>
      <c r="G36" s="463">
        <f>SUM(E36:F36)</f>
        <v>0</v>
      </c>
      <c r="H36" s="463">
        <f>UR12!J22</f>
        <v>1749</v>
      </c>
      <c r="I36" s="463">
        <f>D36+G36+H36</f>
        <v>1749</v>
      </c>
    </row>
    <row r="37" spans="1:9" ht="15">
      <c r="A37" s="268" t="s">
        <v>370</v>
      </c>
      <c r="B37" s="515"/>
      <c r="C37" s="515"/>
      <c r="D37" s="463">
        <f>B37+C37</f>
        <v>0</v>
      </c>
      <c r="E37" s="463"/>
      <c r="F37" s="463"/>
      <c r="G37" s="463">
        <f>SUM(E37:F37)</f>
        <v>0</v>
      </c>
      <c r="H37" s="463"/>
      <c r="I37" s="463">
        <f>D37+G37+H37</f>
        <v>0</v>
      </c>
    </row>
    <row r="38" spans="1:9" ht="15">
      <c r="A38" s="268" t="s">
        <v>371</v>
      </c>
      <c r="B38" s="463">
        <f>'EU '!C32</f>
        <v>0</v>
      </c>
      <c r="C38" s="463">
        <f>'EU '!D32</f>
        <v>0</v>
      </c>
      <c r="D38" s="463">
        <f>B38+C38</f>
        <v>0</v>
      </c>
      <c r="E38" s="463">
        <f>'EU '!E32</f>
        <v>0</v>
      </c>
      <c r="F38" s="463">
        <f>'EU '!F32</f>
        <v>0</v>
      </c>
      <c r="G38" s="463">
        <f>SUM(E38:F38)</f>
        <v>0</v>
      </c>
      <c r="H38" s="463">
        <f>'EU '!G32</f>
        <v>12.620000000000001</v>
      </c>
      <c r="I38" s="463">
        <f>D38+G38+H38</f>
        <v>12.620000000000001</v>
      </c>
    </row>
    <row r="39" spans="1:9" ht="15">
      <c r="A39" s="266" t="s">
        <v>372</v>
      </c>
      <c r="B39" s="464">
        <f>B36+B37+B38</f>
        <v>0</v>
      </c>
      <c r="C39" s="464">
        <f>C36+C37+C38</f>
        <v>0</v>
      </c>
      <c r="D39" s="464">
        <f>B39+C39</f>
        <v>0</v>
      </c>
      <c r="E39" s="464">
        <f>E36+E37+E38</f>
        <v>0</v>
      </c>
      <c r="F39" s="464">
        <f>F36+F37+F38</f>
        <v>0</v>
      </c>
      <c r="G39" s="464">
        <f>G36+G37+G38</f>
        <v>0</v>
      </c>
      <c r="H39" s="464">
        <f>H36+H37+H38</f>
        <v>1761.62</v>
      </c>
      <c r="I39" s="464">
        <f>D39+G39+H39</f>
        <v>1761.62</v>
      </c>
    </row>
    <row r="40" spans="1:9" ht="15">
      <c r="A40" s="268" t="s">
        <v>373</v>
      </c>
      <c r="B40" s="463"/>
      <c r="C40" s="463"/>
      <c r="D40" s="463"/>
      <c r="E40" s="463"/>
      <c r="F40" s="463"/>
      <c r="G40" s="463"/>
      <c r="H40" s="463"/>
      <c r="I40" s="464">
        <f>1749+12.4</f>
        <v>1761.4</v>
      </c>
    </row>
    <row r="41" spans="1:9" ht="15">
      <c r="A41" s="268" t="s">
        <v>374</v>
      </c>
      <c r="B41" s="463"/>
      <c r="C41" s="463"/>
      <c r="D41" s="463"/>
      <c r="E41" s="463"/>
      <c r="F41" s="463"/>
      <c r="G41" s="463"/>
      <c r="H41" s="463"/>
      <c r="I41" s="463">
        <f>I36</f>
        <v>1749</v>
      </c>
    </row>
    <row r="42" spans="1:12" ht="15">
      <c r="A42" s="269" t="s">
        <v>375</v>
      </c>
      <c r="B42" s="516"/>
      <c r="C42" s="516"/>
      <c r="D42" s="465">
        <f>B42+C42</f>
        <v>0</v>
      </c>
      <c r="E42" s="516">
        <f>G42-F42</f>
        <v>0</v>
      </c>
      <c r="F42" s="516">
        <f>B42*0.01</f>
        <v>0</v>
      </c>
      <c r="G42" s="516"/>
      <c r="H42" s="516">
        <v>12.4</v>
      </c>
      <c r="I42" s="465">
        <f>B42+C42+F42+E42+H42</f>
        <v>12.4</v>
      </c>
      <c r="K42" s="518"/>
      <c r="L42" s="518"/>
    </row>
    <row r="43" spans="2:9" ht="15">
      <c r="B43" s="517" t="s">
        <v>656</v>
      </c>
      <c r="C43" s="518"/>
      <c r="D43" s="518"/>
      <c r="E43" s="518"/>
      <c r="F43" s="518"/>
      <c r="G43" s="518"/>
      <c r="H43" s="518"/>
      <c r="I43" s="466">
        <f>I40-I39</f>
        <v>-0.2199999999997999</v>
      </c>
    </row>
    <row r="44" spans="2:9" ht="15">
      <c r="B44" s="517"/>
      <c r="C44" s="518"/>
      <c r="D44" s="518"/>
      <c r="E44" s="518"/>
      <c r="F44" s="518"/>
      <c r="G44" s="518"/>
      <c r="H44" s="518"/>
      <c r="I44" s="466"/>
    </row>
    <row r="45" spans="1:9" ht="30">
      <c r="A45" s="462" t="s">
        <v>383</v>
      </c>
      <c r="B45" s="520" t="s">
        <v>364</v>
      </c>
      <c r="C45" s="520" t="s">
        <v>365</v>
      </c>
      <c r="D45" s="521" t="s">
        <v>133</v>
      </c>
      <c r="E45" s="520" t="s">
        <v>366</v>
      </c>
      <c r="F45" s="520" t="s">
        <v>21</v>
      </c>
      <c r="G45" s="521" t="s">
        <v>367</v>
      </c>
      <c r="H45" s="520" t="s">
        <v>368</v>
      </c>
      <c r="I45" s="520" t="s">
        <v>102</v>
      </c>
    </row>
    <row r="46" spans="1:9" ht="15">
      <c r="A46" s="268" t="s">
        <v>369</v>
      </c>
      <c r="B46" s="515">
        <f>UR12!C25+UR12!C26+UR12!C27+UR12!C28+UR12!C29+UR12!C30+UR12!C31</f>
        <v>29453</v>
      </c>
      <c r="C46" s="515">
        <f>UR12!D25+UR12!D26+UR12!D27+UR12!D28+UR12!D29+UR12!D30+UR12!D31</f>
        <v>8501</v>
      </c>
      <c r="D46" s="463">
        <f>B46+C46</f>
        <v>37954</v>
      </c>
      <c r="E46" s="515">
        <f>UR12!F25+UR12!F26+UR12!F27+UR12!F28+UR12!F29+UR12!F30+UR12!F31</f>
        <v>10831</v>
      </c>
      <c r="F46" s="515">
        <f>UR12!G25+UR12!G26+UR12!G27+UR12!G28+UR12!G29+UR12!G30+UR12!G31</f>
        <v>332</v>
      </c>
      <c r="G46" s="463">
        <f>SUM(E46:F46)</f>
        <v>11163</v>
      </c>
      <c r="H46" s="463">
        <f>UR12!J25+UR12!J26+UR12!J27+UR12!J28+UR12!J29+UR12!J30+UR12!J31</f>
        <v>1384</v>
      </c>
      <c r="I46" s="463">
        <f>D46+G46+H46</f>
        <v>50501</v>
      </c>
    </row>
    <row r="47" spans="1:9" ht="15">
      <c r="A47" s="268" t="s">
        <v>370</v>
      </c>
      <c r="B47" s="515">
        <f>'EU '!C48</f>
        <v>5430.981</v>
      </c>
      <c r="C47" s="515">
        <f>'EU '!D48</f>
        <v>3963.035</v>
      </c>
      <c r="D47" s="463">
        <f>B47+C47</f>
        <v>9394.016</v>
      </c>
      <c r="E47" s="515">
        <f>'EU '!E48</f>
        <v>2328.2270000000008</v>
      </c>
      <c r="F47" s="515">
        <f>'EU '!F48</f>
        <v>56.591</v>
      </c>
      <c r="G47" s="463">
        <f>SUM(E47:F47)</f>
        <v>2384.8180000000007</v>
      </c>
      <c r="H47" s="515">
        <f>'EU '!G48</f>
        <v>16266.059000000001</v>
      </c>
      <c r="I47" s="463">
        <f>D47+G47+H47</f>
        <v>28044.893000000004</v>
      </c>
    </row>
    <row r="48" spans="1:9" ht="15">
      <c r="A48" s="268" t="s">
        <v>371</v>
      </c>
      <c r="B48" s="463">
        <f>'EU '!C70</f>
        <v>866.467</v>
      </c>
      <c r="C48" s="463">
        <f>'EU '!D70</f>
        <v>946.273</v>
      </c>
      <c r="D48" s="463">
        <f>B48+C48</f>
        <v>1812.74</v>
      </c>
      <c r="E48" s="463">
        <f>'EU '!E70</f>
        <v>424.637</v>
      </c>
      <c r="F48" s="463">
        <f>'EU '!F70</f>
        <v>8.734000000000002</v>
      </c>
      <c r="G48" s="463">
        <f>SUM(E48:F48)</f>
        <v>433.371</v>
      </c>
      <c r="H48" s="463">
        <f>'EU '!G70</f>
        <v>3647.2539999999995</v>
      </c>
      <c r="I48" s="463">
        <f>D48+G48+H48</f>
        <v>5893.365</v>
      </c>
    </row>
    <row r="49" spans="1:9" ht="15">
      <c r="A49" s="266" t="s">
        <v>372</v>
      </c>
      <c r="B49" s="464">
        <f>B46+B47+B48</f>
        <v>35750.448</v>
      </c>
      <c r="C49" s="464">
        <f>C46+C47+C48</f>
        <v>13410.307999999999</v>
      </c>
      <c r="D49" s="464">
        <f>B49+C49</f>
        <v>49160.755999999994</v>
      </c>
      <c r="E49" s="464">
        <f>E46+E47+E48</f>
        <v>13583.864000000001</v>
      </c>
      <c r="F49" s="464">
        <f>F46+F47+F48</f>
        <v>397.325</v>
      </c>
      <c r="G49" s="464">
        <f>G46+G47+G48</f>
        <v>13981.189</v>
      </c>
      <c r="H49" s="464">
        <f>H46+H47+H48</f>
        <v>21297.313000000002</v>
      </c>
      <c r="I49" s="464">
        <f>D49+G49+H49</f>
        <v>84439.258</v>
      </c>
    </row>
    <row r="50" spans="1:9" ht="15">
      <c r="A50" s="268" t="s">
        <v>373</v>
      </c>
      <c r="B50" s="463"/>
      <c r="C50" s="463"/>
      <c r="D50" s="463"/>
      <c r="E50" s="463"/>
      <c r="F50" s="463"/>
      <c r="G50" s="463"/>
      <c r="H50" s="463"/>
      <c r="I50" s="464">
        <f>50501+9424.852</f>
        <v>59925.852</v>
      </c>
    </row>
    <row r="51" spans="1:9" ht="15">
      <c r="A51" s="268" t="s">
        <v>374</v>
      </c>
      <c r="B51" s="463"/>
      <c r="C51" s="463"/>
      <c r="D51" s="463"/>
      <c r="E51" s="463"/>
      <c r="F51" s="463"/>
      <c r="G51" s="463"/>
      <c r="H51" s="463"/>
      <c r="I51" s="463">
        <f>I46</f>
        <v>50501</v>
      </c>
    </row>
    <row r="52" spans="1:12" ht="15">
      <c r="A52" s="269" t="s">
        <v>375</v>
      </c>
      <c r="B52" s="516">
        <v>2647.33</v>
      </c>
      <c r="C52" s="516">
        <v>1190.269</v>
      </c>
      <c r="D52" s="465">
        <f>B52+C52</f>
        <v>3837.599</v>
      </c>
      <c r="E52" s="516">
        <v>1576.528</v>
      </c>
      <c r="F52" s="516">
        <v>18.143</v>
      </c>
      <c r="G52" s="516">
        <f>SUM(E52:F52)</f>
        <v>1594.671</v>
      </c>
      <c r="H52" s="516">
        <v>3992.58103</v>
      </c>
      <c r="I52" s="465">
        <f>B52+C52+F52+E52+H52</f>
        <v>9424.85103</v>
      </c>
      <c r="K52" s="518"/>
      <c r="L52" s="518"/>
    </row>
    <row r="53" spans="2:9" ht="15">
      <c r="B53" s="517" t="s">
        <v>656</v>
      </c>
      <c r="C53" s="518"/>
      <c r="D53" s="518"/>
      <c r="E53" s="518"/>
      <c r="F53" s="518"/>
      <c r="G53" s="518"/>
      <c r="H53" s="518"/>
      <c r="I53" s="466">
        <f>I50-I49</f>
        <v>-24513.406000000003</v>
      </c>
    </row>
    <row r="54" spans="2:9" ht="12.75">
      <c r="B54" s="518"/>
      <c r="C54" s="518"/>
      <c r="D54" s="518"/>
      <c r="E54" s="518"/>
      <c r="F54" s="518"/>
      <c r="G54" s="518"/>
      <c r="H54" s="518"/>
      <c r="I54" s="518" t="s">
        <v>1</v>
      </c>
    </row>
    <row r="55" spans="1:9" ht="30">
      <c r="A55" s="462" t="s">
        <v>27</v>
      </c>
      <c r="B55" s="520" t="s">
        <v>364</v>
      </c>
      <c r="C55" s="520" t="s">
        <v>365</v>
      </c>
      <c r="D55" s="521" t="s">
        <v>133</v>
      </c>
      <c r="E55" s="520" t="s">
        <v>366</v>
      </c>
      <c r="F55" s="520" t="s">
        <v>21</v>
      </c>
      <c r="G55" s="521" t="s">
        <v>367</v>
      </c>
      <c r="H55" s="520" t="s">
        <v>368</v>
      </c>
      <c r="I55" s="520" t="s">
        <v>102</v>
      </c>
    </row>
    <row r="56" spans="1:9" ht="15" customHeight="1">
      <c r="A56" s="268" t="s">
        <v>369</v>
      </c>
      <c r="B56" s="515">
        <f>UR12!C34+UR12!C35+UR12!C36+UR12!C37+UR12!C39+UR12!C40+UR12!C41+UR12!C42+UR12!C43+UR12!C44</f>
        <v>27758</v>
      </c>
      <c r="C56" s="515">
        <f>UR12!D34+UR12!D35+UR12!D36+UR12!D37+UR12!D39+UR12!D40+UR12!D41+UR12!D42+UR12!D43+UR12!D44</f>
        <v>9011</v>
      </c>
      <c r="D56" s="463">
        <f>B56+C56</f>
        <v>36769</v>
      </c>
      <c r="E56" s="515">
        <f>UR12!F34+UR12!F35+UR12!F36+UR12!F37+UR12!F39+UR12!F40+UR12!F41+UR12!F42+UR12!F43+UR12!F44</f>
        <v>12014</v>
      </c>
      <c r="F56" s="515">
        <f>UR12!G34+UR12!G35+UR12!G36+UR12!G37+UR12!G39+UR12!G40+UR12!G41+UR12!G42+UR12!G43+UR12!G44</f>
        <v>419</v>
      </c>
      <c r="G56" s="463">
        <f>SUM(E56:F56)</f>
        <v>12433</v>
      </c>
      <c r="H56" s="463">
        <f>UR12!J34+UR12!J35+UR12!J36+UR12!J37+UR12!J39+UR12!J40+UR12!J41+UR12!J42+UR12!J43+UR12!J44</f>
        <v>52572</v>
      </c>
      <c r="I56" s="463">
        <f>D56+G56+H56</f>
        <v>101774</v>
      </c>
    </row>
    <row r="57" spans="1:9" ht="15">
      <c r="A57" s="268" t="s">
        <v>370</v>
      </c>
      <c r="B57" s="515">
        <f>'EU '!C75</f>
        <v>1819.854</v>
      </c>
      <c r="C57" s="515">
        <f>'EU '!D75</f>
        <v>1200</v>
      </c>
      <c r="D57" s="463">
        <f>B57+C57</f>
        <v>3019.8540000000003</v>
      </c>
      <c r="E57" s="515">
        <f>'EU '!E75</f>
        <v>618.751</v>
      </c>
      <c r="F57" s="515">
        <f>'EU '!F75</f>
        <v>36.397999999999996</v>
      </c>
      <c r="G57" s="463">
        <f>SUM(E57:F57)</f>
        <v>655.149</v>
      </c>
      <c r="H57" s="515">
        <f>'EU '!G75</f>
        <v>11006.46</v>
      </c>
      <c r="I57" s="463">
        <f>D57+G57+H57</f>
        <v>14681.463</v>
      </c>
    </row>
    <row r="58" spans="1:9" ht="14.25" customHeight="1">
      <c r="A58" s="268" t="s">
        <v>371</v>
      </c>
      <c r="B58" s="515">
        <f>'EU '!C76</f>
        <v>0</v>
      </c>
      <c r="C58" s="463">
        <f>'EU '!D76</f>
        <v>0</v>
      </c>
      <c r="D58" s="463">
        <f>B58+C58</f>
        <v>0</v>
      </c>
      <c r="E58" s="515">
        <f>'EU '!E76</f>
        <v>0</v>
      </c>
      <c r="F58" s="463">
        <f>'EU '!F76</f>
        <v>0</v>
      </c>
      <c r="G58" s="463">
        <f>SUM(E58:F58)</f>
        <v>0</v>
      </c>
      <c r="H58" s="515">
        <f>'EU '!G76</f>
        <v>1.14</v>
      </c>
      <c r="I58" s="463">
        <f>D58+G58+H58</f>
        <v>1.14</v>
      </c>
    </row>
    <row r="59" spans="1:9" ht="15">
      <c r="A59" s="266" t="s">
        <v>372</v>
      </c>
      <c r="B59" s="464">
        <f>B56+B57+B58</f>
        <v>29577.854</v>
      </c>
      <c r="C59" s="464">
        <f>C56+C57+C58</f>
        <v>10211</v>
      </c>
      <c r="D59" s="464">
        <f>B59+C59</f>
        <v>39788.854</v>
      </c>
      <c r="E59" s="464">
        <f>E56+E57+E58</f>
        <v>12632.751</v>
      </c>
      <c r="F59" s="464">
        <f>F56+F57+F58</f>
        <v>455.398</v>
      </c>
      <c r="G59" s="464">
        <f>G56+G57+G58</f>
        <v>13088.149</v>
      </c>
      <c r="H59" s="464">
        <f>H56+H57+H58</f>
        <v>63579.6</v>
      </c>
      <c r="I59" s="464">
        <f>D59+G59+H59</f>
        <v>116456.603</v>
      </c>
    </row>
    <row r="60" spans="1:9" ht="15" customHeight="1">
      <c r="A60" s="268" t="s">
        <v>373</v>
      </c>
      <c r="B60" s="463"/>
      <c r="C60" s="463"/>
      <c r="D60" s="463"/>
      <c r="E60" s="463"/>
      <c r="F60" s="463"/>
      <c r="G60" s="463"/>
      <c r="H60" s="463"/>
      <c r="I60" s="464">
        <f>101774+14682.6</f>
        <v>116456.6</v>
      </c>
    </row>
    <row r="61" spans="1:9" ht="15">
      <c r="A61" s="268" t="s">
        <v>374</v>
      </c>
      <c r="B61" s="463"/>
      <c r="C61" s="463"/>
      <c r="D61" s="463"/>
      <c r="E61" s="463"/>
      <c r="F61" s="463"/>
      <c r="G61" s="463"/>
      <c r="H61" s="463"/>
      <c r="I61" s="463">
        <f>I56</f>
        <v>101774</v>
      </c>
    </row>
    <row r="62" spans="1:12" ht="12.75" customHeight="1">
      <c r="A62" s="269" t="s">
        <v>375</v>
      </c>
      <c r="B62" s="516">
        <v>1819.854</v>
      </c>
      <c r="C62" s="516">
        <v>1200</v>
      </c>
      <c r="D62" s="465">
        <f>B62+C62</f>
        <v>3019.8540000000003</v>
      </c>
      <c r="E62" s="516">
        <f>G62-F62</f>
        <v>636.95046</v>
      </c>
      <c r="F62" s="516">
        <f>B62*0.01</f>
        <v>18.19854</v>
      </c>
      <c r="G62" s="516">
        <v>655.149</v>
      </c>
      <c r="H62" s="516">
        <f>11000+7.597</f>
        <v>11007.597</v>
      </c>
      <c r="I62" s="465">
        <f>B62+C62+F62+E62+H62</f>
        <v>14682.6</v>
      </c>
      <c r="K62" s="518"/>
      <c r="L62" s="518"/>
    </row>
    <row r="63" spans="2:9" ht="15">
      <c r="B63" s="517" t="s">
        <v>656</v>
      </c>
      <c r="C63" s="518"/>
      <c r="D63" s="518"/>
      <c r="E63" s="518"/>
      <c r="F63" s="518"/>
      <c r="G63" s="518"/>
      <c r="H63" s="518"/>
      <c r="I63" s="466">
        <f>I60-I59</f>
        <v>-0.0029999999969732016</v>
      </c>
    </row>
    <row r="64" spans="2:9" ht="15">
      <c r="B64" s="517"/>
      <c r="C64" s="518"/>
      <c r="D64" s="518"/>
      <c r="E64" s="518"/>
      <c r="F64" s="518"/>
      <c r="G64" s="518"/>
      <c r="H64" s="518"/>
      <c r="I64" s="466"/>
    </row>
    <row r="65" spans="1:9" ht="30">
      <c r="A65" s="272" t="s">
        <v>411</v>
      </c>
      <c r="B65" s="520" t="s">
        <v>364</v>
      </c>
      <c r="C65" s="520" t="s">
        <v>365</v>
      </c>
      <c r="D65" s="521" t="s">
        <v>133</v>
      </c>
      <c r="E65" s="520" t="s">
        <v>366</v>
      </c>
      <c r="F65" s="520" t="s">
        <v>21</v>
      </c>
      <c r="G65" s="521" t="s">
        <v>367</v>
      </c>
      <c r="H65" s="520" t="s">
        <v>368</v>
      </c>
      <c r="I65" s="520" t="s">
        <v>102</v>
      </c>
    </row>
    <row r="66" spans="1:9" ht="15">
      <c r="A66" s="268" t="s">
        <v>369</v>
      </c>
      <c r="B66" s="515">
        <f>UR12!C47+UR12!C48+UR12!C50+UR12!C51+UR12!C52+UR12!C53</f>
        <v>30338</v>
      </c>
      <c r="C66" s="515">
        <f>UR12!D47+UR12!D48+UR12!D50+UR12!D51+UR12!D52+UR12!D53</f>
        <v>9647</v>
      </c>
      <c r="D66" s="463">
        <f>B66+C66</f>
        <v>39985</v>
      </c>
      <c r="E66" s="515">
        <f>UR12!F47+UR12!F48+UR12!F50+UR12!F51+UR12!F52+UR12!F53</f>
        <v>11544</v>
      </c>
      <c r="F66" s="515">
        <f>UR12!G47+UR12!G48+UR12!G50+UR12!G51+UR12!G52+UR12!G53</f>
        <v>302</v>
      </c>
      <c r="G66" s="463">
        <f>SUM(E66:F66)</f>
        <v>11846</v>
      </c>
      <c r="H66" s="463">
        <f>UR12!J47+UR12!J48+UR12!J50+UR12!J51+UR12!J52+UR12!J53</f>
        <v>19582</v>
      </c>
      <c r="I66" s="463">
        <f>D66+G66+H66</f>
        <v>71413</v>
      </c>
    </row>
    <row r="67" spans="1:9" ht="15">
      <c r="A67" s="268" t="s">
        <v>370</v>
      </c>
      <c r="B67" s="515">
        <f>'EU '!C104</f>
        <v>50392.841</v>
      </c>
      <c r="C67" s="515">
        <f>'EU '!D104</f>
        <v>126880.322</v>
      </c>
      <c r="D67" s="463">
        <f>B67+C67</f>
        <v>177273.163</v>
      </c>
      <c r="E67" s="515">
        <f>'EU '!E104</f>
        <v>31934.016999999996</v>
      </c>
      <c r="F67" s="515">
        <f>'EU '!F104</f>
        <v>907.146</v>
      </c>
      <c r="G67" s="463">
        <f>SUM(E67:F67)</f>
        <v>32841.16299999999</v>
      </c>
      <c r="H67" s="515">
        <f>'EU '!G104</f>
        <v>133459.737</v>
      </c>
      <c r="I67" s="463">
        <f>D67+G67+H67</f>
        <v>343574.06299999997</v>
      </c>
    </row>
    <row r="68" spans="1:9" ht="15">
      <c r="A68" s="268" t="s">
        <v>371</v>
      </c>
      <c r="B68" s="463">
        <f>'EU '!C114</f>
        <v>8404.275</v>
      </c>
      <c r="C68" s="463">
        <f>'EU '!D114</f>
        <v>17371.391000000003</v>
      </c>
      <c r="D68" s="463">
        <f>B68+C68</f>
        <v>25775.666000000005</v>
      </c>
      <c r="E68" s="463">
        <f>'EU '!E114</f>
        <v>4592.604</v>
      </c>
      <c r="F68" s="463">
        <f>'EU '!F114</f>
        <v>156.73499999999999</v>
      </c>
      <c r="G68" s="463">
        <f>SUM(E68:F68)</f>
        <v>4749.339</v>
      </c>
      <c r="H68" s="463">
        <f>'EU '!G114</f>
        <v>24795.735</v>
      </c>
      <c r="I68" s="463">
        <f>D68+G68+H68</f>
        <v>55320.740000000005</v>
      </c>
    </row>
    <row r="69" spans="1:9" ht="15">
      <c r="A69" s="266" t="s">
        <v>372</v>
      </c>
      <c r="B69" s="464">
        <f>B66+B67+B68</f>
        <v>89135.116</v>
      </c>
      <c r="C69" s="464">
        <f>C66+C67+C68</f>
        <v>153898.713</v>
      </c>
      <c r="D69" s="464">
        <f>B69+C69</f>
        <v>243033.82899999997</v>
      </c>
      <c r="E69" s="464">
        <f>E66+E67+E68</f>
        <v>48070.62099999999</v>
      </c>
      <c r="F69" s="464">
        <f>F66+F67+F68</f>
        <v>1365.8809999999999</v>
      </c>
      <c r="G69" s="464">
        <f>G66+G67+G68</f>
        <v>49436.50199999999</v>
      </c>
      <c r="H69" s="464">
        <f>H66+H67+H68</f>
        <v>177837.472</v>
      </c>
      <c r="I69" s="464">
        <f>D69+G69+H69</f>
        <v>470307.80299999996</v>
      </c>
    </row>
    <row r="70" spans="1:9" ht="15">
      <c r="A70" s="268" t="s">
        <v>373</v>
      </c>
      <c r="B70" s="463"/>
      <c r="C70" s="463"/>
      <c r="D70" s="463"/>
      <c r="E70" s="463"/>
      <c r="F70" s="463"/>
      <c r="G70" s="463"/>
      <c r="H70" s="463"/>
      <c r="I70" s="464">
        <f>71413+357124.374</f>
        <v>428537.374</v>
      </c>
    </row>
    <row r="71" spans="1:9" ht="15">
      <c r="A71" s="268" t="s">
        <v>374</v>
      </c>
      <c r="B71" s="463"/>
      <c r="C71" s="463"/>
      <c r="D71" s="463"/>
      <c r="E71" s="463"/>
      <c r="F71" s="463"/>
      <c r="G71" s="463"/>
      <c r="H71" s="463"/>
      <c r="I71" s="463">
        <f>I66</f>
        <v>71413</v>
      </c>
    </row>
    <row r="72" spans="1:12" ht="15">
      <c r="A72" s="269" t="s">
        <v>375</v>
      </c>
      <c r="B72" s="516">
        <v>46303.19013</v>
      </c>
      <c r="C72" s="516">
        <v>107390.90645</v>
      </c>
      <c r="D72" s="465">
        <f>B72+C72</f>
        <v>153694.09658</v>
      </c>
      <c r="E72" s="516">
        <v>29722.97608</v>
      </c>
      <c r="F72" s="516">
        <v>584.758</v>
      </c>
      <c r="G72" s="516">
        <f>SUM(E72:F72)</f>
        <v>30307.734080000002</v>
      </c>
      <c r="H72" s="516">
        <v>143016.50003</v>
      </c>
      <c r="I72" s="465">
        <f>B72+C72+F72+E72+H72</f>
        <v>327018.33069</v>
      </c>
      <c r="K72" s="518"/>
      <c r="L72" s="518"/>
    </row>
    <row r="73" spans="2:9" ht="15">
      <c r="B73" s="517" t="s">
        <v>656</v>
      </c>
      <c r="C73" s="518"/>
      <c r="D73" s="518"/>
      <c r="E73" s="518"/>
      <c r="F73" s="518"/>
      <c r="G73" s="518"/>
      <c r="H73" s="518"/>
      <c r="I73" s="466">
        <f>I70-I69</f>
        <v>-41770.428999999946</v>
      </c>
    </row>
    <row r="74" spans="2:9" ht="12.75">
      <c r="B74" s="518"/>
      <c r="C74" s="518"/>
      <c r="D74" s="518"/>
      <c r="E74" s="518"/>
      <c r="F74" s="518"/>
      <c r="G74" s="518"/>
      <c r="H74" s="518"/>
      <c r="I74" s="518"/>
    </row>
    <row r="75" spans="1:9" ht="15">
      <c r="A75" s="266" t="s">
        <v>412</v>
      </c>
      <c r="B75" s="520" t="s">
        <v>364</v>
      </c>
      <c r="C75" s="520" t="s">
        <v>365</v>
      </c>
      <c r="D75" s="521" t="s">
        <v>133</v>
      </c>
      <c r="E75" s="520" t="s">
        <v>366</v>
      </c>
      <c r="F75" s="520" t="s">
        <v>21</v>
      </c>
      <c r="G75" s="520" t="s">
        <v>376</v>
      </c>
      <c r="H75" s="520" t="s">
        <v>368</v>
      </c>
      <c r="I75" s="520" t="s">
        <v>102</v>
      </c>
    </row>
    <row r="76" spans="1:9" ht="15">
      <c r="A76" s="268" t="s">
        <v>369</v>
      </c>
      <c r="B76" s="515">
        <f>UR12!C55+UR12!C56+UR12!C57</f>
        <v>8958</v>
      </c>
      <c r="C76" s="515">
        <f>UR12!D55+UR12!D56+UR12!D57</f>
        <v>1354</v>
      </c>
      <c r="D76" s="463">
        <f>B76+C76</f>
        <v>10312</v>
      </c>
      <c r="E76" s="515">
        <f>UR12!F55+UR12!F56+UR12!F57</f>
        <v>3253</v>
      </c>
      <c r="F76" s="515">
        <f>UR12!G55+UR12!G56+UR12!G57</f>
        <v>91</v>
      </c>
      <c r="G76" s="463">
        <f>SUM(E76:F76)</f>
        <v>3344</v>
      </c>
      <c r="H76" s="463">
        <f>UR12!J55+UR12!J56+UR12!J57</f>
        <v>8108</v>
      </c>
      <c r="I76" s="463">
        <f>D76+G76+H76</f>
        <v>21764</v>
      </c>
    </row>
    <row r="77" spans="1:9" ht="15">
      <c r="A77" s="268" t="s">
        <v>370</v>
      </c>
      <c r="B77" s="515"/>
      <c r="C77" s="515"/>
      <c r="D77" s="463">
        <f>B77+C77</f>
        <v>0</v>
      </c>
      <c r="E77" s="463"/>
      <c r="F77" s="463"/>
      <c r="G77" s="463"/>
      <c r="H77" s="463"/>
      <c r="I77" s="463">
        <f>D77+G77+H77</f>
        <v>0</v>
      </c>
    </row>
    <row r="78" spans="1:9" ht="15">
      <c r="A78" s="268" t="s">
        <v>371</v>
      </c>
      <c r="B78" s="469"/>
      <c r="C78" s="463"/>
      <c r="D78" s="463">
        <f>B78+C78</f>
        <v>0</v>
      </c>
      <c r="E78" s="463"/>
      <c r="F78" s="463"/>
      <c r="G78" s="463"/>
      <c r="H78" s="463"/>
      <c r="I78" s="463">
        <f>D78+G78+H78</f>
        <v>0</v>
      </c>
    </row>
    <row r="79" spans="1:9" ht="15">
      <c r="A79" s="266" t="s">
        <v>372</v>
      </c>
      <c r="B79" s="464">
        <f>B76+B77+B78</f>
        <v>8958</v>
      </c>
      <c r="C79" s="464">
        <f>C76+C77+C78</f>
        <v>1354</v>
      </c>
      <c r="D79" s="464">
        <f>B79+C79</f>
        <v>10312</v>
      </c>
      <c r="E79" s="464">
        <f>E76+E77+E78</f>
        <v>3253</v>
      </c>
      <c r="F79" s="464">
        <f>F76+F77+F78</f>
        <v>91</v>
      </c>
      <c r="G79" s="464">
        <f>G76+G77+G78</f>
        <v>3344</v>
      </c>
      <c r="H79" s="464">
        <f>H76+H77+H78</f>
        <v>8108</v>
      </c>
      <c r="I79" s="464">
        <f>D79+G79+H79</f>
        <v>21764</v>
      </c>
    </row>
    <row r="80" spans="1:9" ht="15">
      <c r="A80" s="268" t="s">
        <v>373</v>
      </c>
      <c r="B80" s="463"/>
      <c r="C80" s="463"/>
      <c r="D80" s="463"/>
      <c r="E80" s="463"/>
      <c r="F80" s="463"/>
      <c r="G80" s="463"/>
      <c r="H80" s="463"/>
      <c r="I80" s="464">
        <v>21764</v>
      </c>
    </row>
    <row r="81" spans="1:9" ht="15">
      <c r="A81" s="268" t="s">
        <v>374</v>
      </c>
      <c r="B81" s="463"/>
      <c r="C81" s="463"/>
      <c r="D81" s="463"/>
      <c r="E81" s="463"/>
      <c r="F81" s="463"/>
      <c r="G81" s="463"/>
      <c r="H81" s="463"/>
      <c r="I81" s="463">
        <f>I76</f>
        <v>21764</v>
      </c>
    </row>
    <row r="82" spans="1:12" ht="15">
      <c r="A82" s="269" t="s">
        <v>375</v>
      </c>
      <c r="B82" s="516"/>
      <c r="C82" s="516"/>
      <c r="D82" s="465">
        <f>B82+C82</f>
        <v>0</v>
      </c>
      <c r="E82" s="516">
        <f>G82-F82</f>
        <v>0</v>
      </c>
      <c r="F82" s="516">
        <f>B82*0.01</f>
        <v>0</v>
      </c>
      <c r="G82" s="516"/>
      <c r="H82" s="516"/>
      <c r="I82" s="465">
        <f>B82+C82+F82+E82+H82</f>
        <v>0</v>
      </c>
      <c r="K82" s="518"/>
      <c r="L82" s="518"/>
    </row>
    <row r="83" spans="2:9" ht="15">
      <c r="B83" s="517" t="s">
        <v>656</v>
      </c>
      <c r="C83" s="518"/>
      <c r="D83" s="518"/>
      <c r="E83" s="518"/>
      <c r="F83" s="518"/>
      <c r="G83" s="518"/>
      <c r="H83" s="518"/>
      <c r="I83" s="466">
        <f>I80-I79</f>
        <v>0</v>
      </c>
    </row>
    <row r="84" spans="2:9" ht="12.75">
      <c r="B84" s="518"/>
      <c r="C84" s="518"/>
      <c r="D84" s="518"/>
      <c r="E84" s="518"/>
      <c r="F84" s="518"/>
      <c r="G84" s="518"/>
      <c r="H84" s="518"/>
      <c r="I84" s="518"/>
    </row>
    <row r="85" spans="1:9" ht="15">
      <c r="A85" s="462" t="s">
        <v>28</v>
      </c>
      <c r="B85" s="520" t="s">
        <v>364</v>
      </c>
      <c r="C85" s="520" t="s">
        <v>365</v>
      </c>
      <c r="D85" s="521" t="s">
        <v>133</v>
      </c>
      <c r="E85" s="520" t="s">
        <v>366</v>
      </c>
      <c r="F85" s="520" t="s">
        <v>21</v>
      </c>
      <c r="G85" s="520" t="s">
        <v>376</v>
      </c>
      <c r="H85" s="520" t="s">
        <v>368</v>
      </c>
      <c r="I85" s="520" t="s">
        <v>102</v>
      </c>
    </row>
    <row r="86" spans="1:9" ht="15">
      <c r="A86" s="268" t="s">
        <v>369</v>
      </c>
      <c r="B86" s="515">
        <f>UR12!C60+UR12!C61+UR12!C62+UR12!C63+UR12!C64+UR12!C65+UR12!C66+UR12!C67+UR12!C68+UR12!C69</f>
        <v>9574</v>
      </c>
      <c r="C86" s="515">
        <f>UR12!D60+UR12!D61+UR12!D62+UR12!D63+UR12!D64+UR12!D65+UR12!D66+UR12!D67+UR12!D68+UR12!D69</f>
        <v>5264</v>
      </c>
      <c r="D86" s="463">
        <f>B86+C86</f>
        <v>14838</v>
      </c>
      <c r="E86" s="515">
        <f>UR12!F60+UR12!F61+UR12!F62+UR12!F63+UR12!F64+UR12!F65+UR12!F66+UR12!F67+UR12!F68+UR12!F69</f>
        <v>3738</v>
      </c>
      <c r="F86" s="515">
        <f>UR12!G60+UR12!G61+UR12!G62+UR12!G63+UR12!G64+UR12!G65+UR12!G66+UR12!G67+UR12!G68+UR12!G69</f>
        <v>103</v>
      </c>
      <c r="G86" s="463">
        <f>SUM(E86:F86)</f>
        <v>3841</v>
      </c>
      <c r="H86" s="463">
        <f>UR12!J60+UR12!J61+UR12!J62+UR12!J63+UR12!J64+UR12!J65+UR12!J66+UR12!J67+UR12!J68+UR12!J69</f>
        <v>14908</v>
      </c>
      <c r="I86" s="463">
        <f>D86+G86+H86</f>
        <v>33587</v>
      </c>
    </row>
    <row r="87" spans="1:9" ht="15">
      <c r="A87" s="268" t="s">
        <v>370</v>
      </c>
      <c r="B87" s="515">
        <f>'EU '!C120</f>
        <v>10534.755000000001</v>
      </c>
      <c r="C87" s="515">
        <f>'EU '!D120</f>
        <v>4729.887</v>
      </c>
      <c r="D87" s="463">
        <f>B87+C87</f>
        <v>15264.642</v>
      </c>
      <c r="E87" s="515">
        <f>'EU '!E120</f>
        <v>4717.099</v>
      </c>
      <c r="F87" s="515">
        <f>'EU '!F120</f>
        <v>143.006</v>
      </c>
      <c r="G87" s="463">
        <f>SUM(E87:F87)</f>
        <v>4860.1050000000005</v>
      </c>
      <c r="H87" s="515">
        <f>'EU '!G120</f>
        <v>28392.819</v>
      </c>
      <c r="I87" s="463">
        <f>D87+G87+H87</f>
        <v>48517.566</v>
      </c>
    </row>
    <row r="88" spans="1:9" ht="15">
      <c r="A88" s="268" t="s">
        <v>371</v>
      </c>
      <c r="B88" s="463">
        <f>'EU '!C121</f>
        <v>1089.24</v>
      </c>
      <c r="C88" s="463">
        <f>'EU '!D121</f>
        <v>291.495</v>
      </c>
      <c r="D88" s="463">
        <f>B88+C88</f>
        <v>1380.7350000000001</v>
      </c>
      <c r="E88" s="463">
        <f>'EU '!E121</f>
        <v>408.915</v>
      </c>
      <c r="F88" s="463">
        <f>'EU '!F121</f>
        <v>21.78</v>
      </c>
      <c r="G88" s="463">
        <f>SUM(E88:F88)</f>
        <v>430.69500000000005</v>
      </c>
      <c r="H88" s="463">
        <f>'EU '!G121</f>
        <v>4583.145</v>
      </c>
      <c r="I88" s="463">
        <f>D88+G88+H88</f>
        <v>6394.575000000001</v>
      </c>
    </row>
    <row r="89" spans="1:9" ht="15">
      <c r="A89" s="266" t="s">
        <v>372</v>
      </c>
      <c r="B89" s="464">
        <f>B86+B87+B88</f>
        <v>21197.995000000003</v>
      </c>
      <c r="C89" s="464">
        <f>C86+C87+C88</f>
        <v>10285.382</v>
      </c>
      <c r="D89" s="464">
        <f>B89+C89</f>
        <v>31483.377</v>
      </c>
      <c r="E89" s="464">
        <f>E86+E87+E88</f>
        <v>8864.014000000001</v>
      </c>
      <c r="F89" s="464">
        <f>F86+F87+F88</f>
        <v>267.786</v>
      </c>
      <c r="G89" s="464">
        <f>G86+G87+G88</f>
        <v>9131.8</v>
      </c>
      <c r="H89" s="464">
        <f>H86+H87+H88</f>
        <v>47883.96400000001</v>
      </c>
      <c r="I89" s="464">
        <f>D89+G89+H89</f>
        <v>88499.141</v>
      </c>
    </row>
    <row r="90" spans="1:9" ht="15">
      <c r="A90" s="268" t="s">
        <v>373</v>
      </c>
      <c r="B90" s="463"/>
      <c r="C90" s="463"/>
      <c r="D90" s="463"/>
      <c r="E90" s="463"/>
      <c r="F90" s="463"/>
      <c r="G90" s="463"/>
      <c r="H90" s="463"/>
      <c r="I90" s="464">
        <f>33587+43900.286</f>
        <v>77487.286</v>
      </c>
    </row>
    <row r="91" spans="1:9" ht="15">
      <c r="A91" s="268" t="s">
        <v>374</v>
      </c>
      <c r="B91" s="463"/>
      <c r="C91" s="463"/>
      <c r="D91" s="463"/>
      <c r="E91" s="463"/>
      <c r="F91" s="463"/>
      <c r="G91" s="463"/>
      <c r="H91" s="463"/>
      <c r="I91" s="463">
        <f>I86</f>
        <v>33587</v>
      </c>
    </row>
    <row r="92" spans="1:12" ht="15">
      <c r="A92" s="269" t="s">
        <v>375</v>
      </c>
      <c r="B92" s="516">
        <v>11623.995</v>
      </c>
      <c r="C92" s="516">
        <v>4898.276</v>
      </c>
      <c r="D92" s="465">
        <f>B92+C92</f>
        <v>16522.271</v>
      </c>
      <c r="E92" s="516">
        <f>G92-F92</f>
        <v>5150.21505</v>
      </c>
      <c r="F92" s="516">
        <f>B92*0.01</f>
        <v>116.23995000000001</v>
      </c>
      <c r="G92" s="516">
        <v>5266.455</v>
      </c>
      <c r="H92" s="516">
        <v>22111.56</v>
      </c>
      <c r="I92" s="465">
        <f>B92+C92+F92+E92+H92</f>
        <v>43900.286</v>
      </c>
      <c r="K92" s="518"/>
      <c r="L92" s="518"/>
    </row>
    <row r="93" spans="2:9" ht="15">
      <c r="B93" s="517" t="s">
        <v>656</v>
      </c>
      <c r="C93" s="518"/>
      <c r="D93" s="518"/>
      <c r="E93" s="518"/>
      <c r="F93" s="518"/>
      <c r="G93" s="518"/>
      <c r="H93" s="518"/>
      <c r="I93" s="466">
        <f>I90-I89</f>
        <v>-11011.85500000001</v>
      </c>
    </row>
    <row r="94" spans="2:9" ht="12.75">
      <c r="B94" s="518"/>
      <c r="C94" s="518"/>
      <c r="D94" s="518"/>
      <c r="E94" s="518"/>
      <c r="F94" s="518"/>
      <c r="G94" s="518"/>
      <c r="H94" s="518"/>
      <c r="I94" s="518"/>
    </row>
    <row r="95" spans="1:9" ht="15">
      <c r="A95" s="462" t="s">
        <v>192</v>
      </c>
      <c r="B95" s="520" t="s">
        <v>364</v>
      </c>
      <c r="C95" s="520" t="s">
        <v>365</v>
      </c>
      <c r="D95" s="521" t="s">
        <v>133</v>
      </c>
      <c r="E95" s="520" t="s">
        <v>366</v>
      </c>
      <c r="F95" s="520" t="s">
        <v>21</v>
      </c>
      <c r="G95" s="520" t="s">
        <v>376</v>
      </c>
      <c r="H95" s="520" t="s">
        <v>368</v>
      </c>
      <c r="I95" s="520" t="s">
        <v>102</v>
      </c>
    </row>
    <row r="96" spans="1:9" ht="15">
      <c r="A96" s="268" t="s">
        <v>369</v>
      </c>
      <c r="B96" s="515">
        <f>UR12!C72+UR12!C73+UR12!C74+UR12!C75+UR12!C76+UR12!C79+UR12!C80+UR12!C81</f>
        <v>39236</v>
      </c>
      <c r="C96" s="515">
        <f>UR12!D72+UR12!D73+UR12!D74+UR12!D75+UR12!D76+UR12!D79+UR12!D80+UR12!D81</f>
        <v>1140</v>
      </c>
      <c r="D96" s="463">
        <f>B96+C96</f>
        <v>40376</v>
      </c>
      <c r="E96" s="515">
        <f>UR12!F72+UR12!F73+UR12!F74+UR12!F75+UR12!F76+UR12!F79+UR12!F80+UR12!F81</f>
        <v>13117</v>
      </c>
      <c r="F96" s="515">
        <f>UR12!G72+UR12!G73+UR12!G74+UR12!G75+UR12!G76+UR12!G79+UR12!G80+UR12!G81</f>
        <v>385</v>
      </c>
      <c r="G96" s="463">
        <f>SUM(E96:F96)</f>
        <v>13502</v>
      </c>
      <c r="H96" s="463">
        <f>UR12!J72+UR12!J73+UR12!J74+UR12!J75+UR12!J76+UR12!J79+UR12!J80+UR12!J81</f>
        <v>276573</v>
      </c>
      <c r="I96" s="463">
        <f>D96+G96+H96</f>
        <v>330451</v>
      </c>
    </row>
    <row r="97" spans="1:9" ht="15">
      <c r="A97" s="268" t="s">
        <v>370</v>
      </c>
      <c r="B97" s="515">
        <f>'EU '!C126</f>
        <v>0</v>
      </c>
      <c r="C97" s="515">
        <f>'EU '!D126</f>
        <v>0</v>
      </c>
      <c r="D97" s="463">
        <f>B97+C97</f>
        <v>0</v>
      </c>
      <c r="E97" s="515">
        <f>'EU '!E126</f>
        <v>0</v>
      </c>
      <c r="F97" s="515">
        <f>'EU '!F126</f>
        <v>0</v>
      </c>
      <c r="G97" s="463">
        <f>SUM(E97:F97)</f>
        <v>0</v>
      </c>
      <c r="H97" s="515">
        <f>'EU '!G126</f>
        <v>81.764</v>
      </c>
      <c r="I97" s="463">
        <f>D97+G97+H97</f>
        <v>81.764</v>
      </c>
    </row>
    <row r="98" spans="1:9" ht="15">
      <c r="A98" s="268" t="s">
        <v>371</v>
      </c>
      <c r="B98" s="463">
        <f>'EU '!C132</f>
        <v>0</v>
      </c>
      <c r="C98" s="463">
        <f>'EU '!D132</f>
        <v>1099.7069999999999</v>
      </c>
      <c r="D98" s="463">
        <f>B98+C98</f>
        <v>1099.7069999999999</v>
      </c>
      <c r="E98" s="463">
        <f>'EU '!E132</f>
        <v>285</v>
      </c>
      <c r="F98" s="463">
        <f>'EU '!F132</f>
        <v>0</v>
      </c>
      <c r="G98" s="463">
        <f>SUM(E98:F98)</f>
        <v>285</v>
      </c>
      <c r="H98" s="463">
        <f>'EU '!G132</f>
        <v>13461.292</v>
      </c>
      <c r="I98" s="463">
        <f>D98+G98+H98</f>
        <v>14845.999</v>
      </c>
    </row>
    <row r="99" spans="1:9" ht="15">
      <c r="A99" s="266" t="s">
        <v>372</v>
      </c>
      <c r="B99" s="464">
        <f>B96+B97+B98</f>
        <v>39236</v>
      </c>
      <c r="C99" s="464">
        <f>C96+C97+C98</f>
        <v>2239.707</v>
      </c>
      <c r="D99" s="464">
        <f>B99+C99</f>
        <v>41475.707</v>
      </c>
      <c r="E99" s="464">
        <f>E96+E97+E98</f>
        <v>13402</v>
      </c>
      <c r="F99" s="464">
        <f>F96+F97+F98</f>
        <v>385</v>
      </c>
      <c r="G99" s="464">
        <f>G96+G97+G98</f>
        <v>13787</v>
      </c>
      <c r="H99" s="464">
        <f>H96+H97+H98</f>
        <v>290116.05600000004</v>
      </c>
      <c r="I99" s="464">
        <f>D99+G99+H99</f>
        <v>345378.76300000004</v>
      </c>
    </row>
    <row r="100" spans="1:9" ht="15">
      <c r="A100" s="268" t="s">
        <v>373</v>
      </c>
      <c r="B100" s="463"/>
      <c r="C100" s="463"/>
      <c r="D100" s="463"/>
      <c r="E100" s="463"/>
      <c r="F100" s="463"/>
      <c r="G100" s="463"/>
      <c r="H100" s="463"/>
      <c r="I100" s="464">
        <v>335256</v>
      </c>
    </row>
    <row r="101" spans="1:10" ht="15">
      <c r="A101" s="268" t="s">
        <v>374</v>
      </c>
      <c r="B101" s="463"/>
      <c r="C101" s="463"/>
      <c r="D101" s="463"/>
      <c r="E101" s="463"/>
      <c r="F101" s="463"/>
      <c r="G101" s="463"/>
      <c r="H101" s="463"/>
      <c r="I101" s="463">
        <f>I96-7795</f>
        <v>322656</v>
      </c>
      <c r="J101" s="265" t="s">
        <v>653</v>
      </c>
    </row>
    <row r="102" spans="1:12" ht="15">
      <c r="A102" s="269" t="s">
        <v>375</v>
      </c>
      <c r="B102" s="516"/>
      <c r="C102" s="516">
        <v>1099.7069999999999</v>
      </c>
      <c r="D102" s="465">
        <f>B102+C102</f>
        <v>1099.7069999999999</v>
      </c>
      <c r="E102" s="516">
        <f>G102-F102</f>
        <v>285</v>
      </c>
      <c r="F102" s="516">
        <f>B102*0.01</f>
        <v>0</v>
      </c>
      <c r="G102" s="516">
        <v>285</v>
      </c>
      <c r="H102" s="516">
        <v>11215.293</v>
      </c>
      <c r="I102" s="465">
        <f>B102+C102+F102+E102+H102</f>
        <v>12600</v>
      </c>
      <c r="J102" s="265" t="s">
        <v>652</v>
      </c>
      <c r="K102" s="518"/>
      <c r="L102" s="518"/>
    </row>
    <row r="103" spans="2:9" ht="15">
      <c r="B103" s="517" t="s">
        <v>656</v>
      </c>
      <c r="C103" s="518"/>
      <c r="D103" s="518"/>
      <c r="E103" s="518"/>
      <c r="F103" s="518"/>
      <c r="G103" s="518"/>
      <c r="H103" s="518"/>
      <c r="I103" s="532">
        <f>I100-I99</f>
        <v>-10122.763000000035</v>
      </c>
    </row>
    <row r="104" spans="2:9" ht="12.75">
      <c r="B104" s="518"/>
      <c r="C104" s="518"/>
      <c r="D104" s="518"/>
      <c r="E104" s="518"/>
      <c r="F104" s="518"/>
      <c r="G104" s="518"/>
      <c r="H104" s="518"/>
      <c r="I104" s="518"/>
    </row>
    <row r="105" spans="1:9" ht="15">
      <c r="A105" s="266" t="s">
        <v>100</v>
      </c>
      <c r="B105" s="520" t="s">
        <v>364</v>
      </c>
      <c r="C105" s="520" t="s">
        <v>365</v>
      </c>
      <c r="D105" s="521" t="s">
        <v>133</v>
      </c>
      <c r="E105" s="520" t="s">
        <v>366</v>
      </c>
      <c r="F105" s="520" t="s">
        <v>21</v>
      </c>
      <c r="G105" s="520" t="s">
        <v>376</v>
      </c>
      <c r="H105" s="520" t="s">
        <v>368</v>
      </c>
      <c r="I105" s="520" t="s">
        <v>102</v>
      </c>
    </row>
    <row r="106" spans="1:9" ht="15">
      <c r="A106" s="268" t="s">
        <v>369</v>
      </c>
      <c r="B106" s="515"/>
      <c r="C106" s="515"/>
      <c r="D106" s="463">
        <f>B106+C106</f>
        <v>0</v>
      </c>
      <c r="E106" s="463"/>
      <c r="F106" s="463"/>
      <c r="G106" s="463">
        <f>SUM(E106:F106)</f>
        <v>0</v>
      </c>
      <c r="H106" s="463">
        <f>UR12!J83+UR12!J84</f>
        <v>12260</v>
      </c>
      <c r="I106" s="463">
        <f>D106+G106+H106</f>
        <v>12260</v>
      </c>
    </row>
    <row r="107" spans="1:9" ht="15">
      <c r="A107" s="268" t="s">
        <v>370</v>
      </c>
      <c r="B107" s="522"/>
      <c r="C107" s="515"/>
      <c r="D107" s="463">
        <f>B107+C107</f>
        <v>0</v>
      </c>
      <c r="E107" s="463"/>
      <c r="F107" s="463"/>
      <c r="G107" s="463">
        <f>SUM(E107:F107)</f>
        <v>0</v>
      </c>
      <c r="H107" s="463"/>
      <c r="I107" s="463">
        <f>D107+G107+H107</f>
        <v>0</v>
      </c>
    </row>
    <row r="108" spans="1:9" ht="15">
      <c r="A108" s="268" t="s">
        <v>371</v>
      </c>
      <c r="B108" s="522"/>
      <c r="C108" s="463"/>
      <c r="D108" s="463">
        <f>B108+C108</f>
        <v>0</v>
      </c>
      <c r="E108" s="463"/>
      <c r="F108" s="463"/>
      <c r="G108" s="463">
        <f>SUM(E108:F108)</f>
        <v>0</v>
      </c>
      <c r="H108" s="463"/>
      <c r="I108" s="463">
        <f>D108+G108+H108</f>
        <v>0</v>
      </c>
    </row>
    <row r="109" spans="1:9" ht="15">
      <c r="A109" s="266" t="s">
        <v>372</v>
      </c>
      <c r="B109" s="464">
        <f>B106+B107+B108</f>
        <v>0</v>
      </c>
      <c r="C109" s="464">
        <f>C106+C107+C108</f>
        <v>0</v>
      </c>
      <c r="D109" s="464">
        <f>B109+C109</f>
        <v>0</v>
      </c>
      <c r="E109" s="464">
        <f>E106+E107+E108</f>
        <v>0</v>
      </c>
      <c r="F109" s="464">
        <f>F106+F107+F108</f>
        <v>0</v>
      </c>
      <c r="G109" s="464">
        <f>G106+G107+G108</f>
        <v>0</v>
      </c>
      <c r="H109" s="464">
        <f>H106+H107+H108</f>
        <v>12260</v>
      </c>
      <c r="I109" s="464">
        <f>D109+G109+H109</f>
        <v>12260</v>
      </c>
    </row>
    <row r="110" spans="1:9" ht="15">
      <c r="A110" s="268" t="s">
        <v>373</v>
      </c>
      <c r="B110" s="463"/>
      <c r="C110" s="463"/>
      <c r="D110" s="463"/>
      <c r="E110" s="463"/>
      <c r="F110" s="463"/>
      <c r="G110" s="463"/>
      <c r="H110" s="463"/>
      <c r="I110" s="464">
        <v>12260</v>
      </c>
    </row>
    <row r="111" spans="1:9" ht="15">
      <c r="A111" s="268" t="s">
        <v>374</v>
      </c>
      <c r="B111" s="463"/>
      <c r="C111" s="463"/>
      <c r="D111" s="463"/>
      <c r="E111" s="463"/>
      <c r="F111" s="463"/>
      <c r="G111" s="463"/>
      <c r="H111" s="463"/>
      <c r="I111" s="463">
        <f>I106</f>
        <v>12260</v>
      </c>
    </row>
    <row r="112" spans="1:12" ht="15">
      <c r="A112" s="269" t="s">
        <v>375</v>
      </c>
      <c r="B112" s="516"/>
      <c r="C112" s="516"/>
      <c r="D112" s="465">
        <f>B112+C112</f>
        <v>0</v>
      </c>
      <c r="E112" s="516"/>
      <c r="F112" s="516"/>
      <c r="G112" s="516">
        <f>SUM(E112:F112)</f>
        <v>0</v>
      </c>
      <c r="H112" s="516"/>
      <c r="I112" s="465">
        <f>B112+C112+F112+E112+H112</f>
        <v>0</v>
      </c>
      <c r="K112" s="518"/>
      <c r="L112" s="518"/>
    </row>
    <row r="113" spans="2:9" ht="15">
      <c r="B113" s="517" t="s">
        <v>656</v>
      </c>
      <c r="C113" s="518"/>
      <c r="D113" s="518"/>
      <c r="E113" s="518"/>
      <c r="F113" s="518"/>
      <c r="G113" s="518"/>
      <c r="H113" s="518"/>
      <c r="I113" s="466">
        <f>I110-I109</f>
        <v>0</v>
      </c>
    </row>
    <row r="114" spans="2:9" ht="15">
      <c r="B114" s="517"/>
      <c r="C114" s="518"/>
      <c r="D114" s="518"/>
      <c r="E114" s="518"/>
      <c r="F114" s="518"/>
      <c r="G114" s="518"/>
      <c r="H114" s="518"/>
      <c r="I114" s="466"/>
    </row>
    <row r="115" spans="1:9" ht="15">
      <c r="A115" s="462" t="s">
        <v>413</v>
      </c>
      <c r="B115" s="520" t="s">
        <v>364</v>
      </c>
      <c r="C115" s="520" t="s">
        <v>365</v>
      </c>
      <c r="D115" s="521" t="s">
        <v>133</v>
      </c>
      <c r="E115" s="520" t="s">
        <v>366</v>
      </c>
      <c r="F115" s="520" t="s">
        <v>21</v>
      </c>
      <c r="G115" s="520" t="s">
        <v>376</v>
      </c>
      <c r="H115" s="520" t="s">
        <v>368</v>
      </c>
      <c r="I115" s="520" t="s">
        <v>102</v>
      </c>
    </row>
    <row r="116" spans="1:9" ht="15">
      <c r="A116" s="268" t="s">
        <v>369</v>
      </c>
      <c r="B116" s="515">
        <f>UR12!C87+UR12!C88+UR12!C89</f>
        <v>23417</v>
      </c>
      <c r="C116" s="515">
        <f>UR12!D87+UR12!D88+UR12!D89</f>
        <v>11988</v>
      </c>
      <c r="D116" s="463">
        <f>B116+C116</f>
        <v>35405</v>
      </c>
      <c r="E116" s="463">
        <f>UR12!F87+UR12!F88+UR12!F89</f>
        <v>9010</v>
      </c>
      <c r="F116" s="463">
        <f>UR12!G87+UR12!G88+UR12!G89</f>
        <v>222</v>
      </c>
      <c r="G116" s="463">
        <f>SUM(E116:F116)</f>
        <v>9232</v>
      </c>
      <c r="H116" s="463">
        <f>UR12!J87+UR12!J88+UR12!J89</f>
        <v>13389</v>
      </c>
      <c r="I116" s="463">
        <f>D116+G116+H116</f>
        <v>58026</v>
      </c>
    </row>
    <row r="117" spans="1:9" ht="15">
      <c r="A117" s="268" t="s">
        <v>370</v>
      </c>
      <c r="B117" s="515">
        <f>'EU '!C141</f>
        <v>13267.299</v>
      </c>
      <c r="C117" s="515">
        <f>'EU '!D141</f>
        <v>22438.980999999996</v>
      </c>
      <c r="D117" s="463">
        <f>B117+C117</f>
        <v>35706.28</v>
      </c>
      <c r="E117" s="515">
        <f>'EU '!E141</f>
        <v>5761.012000000001</v>
      </c>
      <c r="F117" s="515">
        <f>'EU '!F141</f>
        <v>150.767</v>
      </c>
      <c r="G117" s="463">
        <f>SUM(E117:F117)</f>
        <v>5911.779</v>
      </c>
      <c r="H117" s="515">
        <f>'EU '!G141</f>
        <v>11756.49</v>
      </c>
      <c r="I117" s="463">
        <f>D117+G117+H117</f>
        <v>53374.549</v>
      </c>
    </row>
    <row r="118" spans="1:9" ht="15">
      <c r="A118" s="268" t="s">
        <v>371</v>
      </c>
      <c r="B118" s="515">
        <f>'EU '!C147</f>
        <v>1028.99</v>
      </c>
      <c r="C118" s="515">
        <f>'EU '!D147</f>
        <v>2224.955</v>
      </c>
      <c r="D118" s="463">
        <f>B118+C118</f>
        <v>3253.9449999999997</v>
      </c>
      <c r="E118" s="515">
        <f>'EU '!E147</f>
        <v>666.3820000000001</v>
      </c>
      <c r="F118" s="515">
        <f>'EU '!F147</f>
        <v>20.309</v>
      </c>
      <c r="G118" s="463">
        <f>SUM(E118:F118)</f>
        <v>686.691</v>
      </c>
      <c r="H118" s="515">
        <f>'EU '!G147</f>
        <v>1304.435</v>
      </c>
      <c r="I118" s="463">
        <f>D118+G118+H118</f>
        <v>5245.071</v>
      </c>
    </row>
    <row r="119" spans="1:9" ht="15">
      <c r="A119" s="266" t="s">
        <v>372</v>
      </c>
      <c r="B119" s="464">
        <f>B116+B117+B118</f>
        <v>37713.289</v>
      </c>
      <c r="C119" s="464">
        <f>C116+C117+C118</f>
        <v>36651.936</v>
      </c>
      <c r="D119" s="464">
        <f>B119+C119</f>
        <v>74365.225</v>
      </c>
      <c r="E119" s="464">
        <f>E116+E117+E118</f>
        <v>15437.394</v>
      </c>
      <c r="F119" s="464">
        <f>F116+F117+F118</f>
        <v>393.076</v>
      </c>
      <c r="G119" s="464">
        <f>G116+G117+G118</f>
        <v>15830.470000000001</v>
      </c>
      <c r="H119" s="464">
        <f>H116+H117+H118</f>
        <v>26449.925</v>
      </c>
      <c r="I119" s="464">
        <f>D119+G119+H119</f>
        <v>116645.62000000001</v>
      </c>
    </row>
    <row r="120" spans="1:9" ht="15">
      <c r="A120" s="268" t="s">
        <v>373</v>
      </c>
      <c r="B120" s="463"/>
      <c r="C120" s="463"/>
      <c r="D120" s="463"/>
      <c r="E120" s="463"/>
      <c r="F120" s="463"/>
      <c r="G120" s="463"/>
      <c r="H120" s="463"/>
      <c r="I120" s="464">
        <f>58026+42095.787</f>
        <v>100121.787</v>
      </c>
    </row>
    <row r="121" spans="1:9" ht="15">
      <c r="A121" s="268" t="s">
        <v>374</v>
      </c>
      <c r="B121" s="463"/>
      <c r="C121" s="463"/>
      <c r="D121" s="463"/>
      <c r="E121" s="463"/>
      <c r="F121" s="463"/>
      <c r="G121" s="463"/>
      <c r="H121" s="463"/>
      <c r="I121" s="463">
        <f>I116</f>
        <v>58026</v>
      </c>
    </row>
    <row r="122" spans="1:12" ht="15">
      <c r="A122" s="269" t="s">
        <v>375</v>
      </c>
      <c r="B122" s="516">
        <v>13138.527</v>
      </c>
      <c r="C122" s="516">
        <v>15032.28213</v>
      </c>
      <c r="D122" s="465">
        <f>B122+C122</f>
        <v>28170.80913</v>
      </c>
      <c r="E122" s="516">
        <v>4205.67691</v>
      </c>
      <c r="F122" s="516">
        <v>108.27246</v>
      </c>
      <c r="G122" s="516">
        <f>SUM(E122:F122)</f>
        <v>4313.94937</v>
      </c>
      <c r="H122" s="516">
        <f>9554.2111+56.81717</f>
        <v>9611.02827</v>
      </c>
      <c r="I122" s="465">
        <f>B122+C122+F122+E122+H122</f>
        <v>42095.786770000006</v>
      </c>
      <c r="J122" t="s">
        <v>654</v>
      </c>
      <c r="K122" s="518"/>
      <c r="L122" s="518"/>
    </row>
    <row r="123" spans="2:9" ht="15">
      <c r="B123" s="517" t="s">
        <v>656</v>
      </c>
      <c r="C123" s="518"/>
      <c r="D123" s="518"/>
      <c r="E123" s="518"/>
      <c r="F123" s="518"/>
      <c r="G123" s="518"/>
      <c r="H123" s="518"/>
      <c r="I123" s="466">
        <f>I120-I119</f>
        <v>-16523.833000000013</v>
      </c>
    </row>
    <row r="124" spans="2:9" ht="12.75">
      <c r="B124" s="518"/>
      <c r="C124" s="518"/>
      <c r="D124" s="518"/>
      <c r="E124" s="518"/>
      <c r="F124" s="518"/>
      <c r="G124" s="518"/>
      <c r="H124" s="518"/>
      <c r="I124" s="518"/>
    </row>
    <row r="125" spans="1:9" ht="15">
      <c r="A125" s="272" t="s">
        <v>193</v>
      </c>
      <c r="B125" s="520" t="s">
        <v>364</v>
      </c>
      <c r="C125" s="520" t="s">
        <v>365</v>
      </c>
      <c r="D125" s="521" t="s">
        <v>133</v>
      </c>
      <c r="E125" s="520" t="s">
        <v>366</v>
      </c>
      <c r="F125" s="520" t="s">
        <v>21</v>
      </c>
      <c r="G125" s="520" t="s">
        <v>376</v>
      </c>
      <c r="H125" s="520" t="s">
        <v>368</v>
      </c>
      <c r="I125" s="520" t="s">
        <v>102</v>
      </c>
    </row>
    <row r="126" spans="1:9" ht="15">
      <c r="A126" s="268" t="s">
        <v>369</v>
      </c>
      <c r="B126" s="515">
        <f>UR12!C93+UR12!C94+UR12!C95</f>
        <v>29157</v>
      </c>
      <c r="C126" s="515">
        <f>UR12!D93+UR12!D94+UR12!D95</f>
        <v>25329</v>
      </c>
      <c r="D126" s="463">
        <f>B126+C126</f>
        <v>54486</v>
      </c>
      <c r="E126" s="515">
        <f>UR12!F93+UR12!F94+UR12!F95</f>
        <v>15316</v>
      </c>
      <c r="F126" s="515">
        <f>UR12!G93+UR12!G94+UR12!G95</f>
        <v>292</v>
      </c>
      <c r="G126" s="463">
        <f>SUM(E126:F126)</f>
        <v>15608</v>
      </c>
      <c r="H126" s="463">
        <f>UR12!J93+UR12!J94+UR12!J95</f>
        <v>155721</v>
      </c>
      <c r="I126" s="463">
        <f>D126+G126+H126</f>
        <v>225815</v>
      </c>
    </row>
    <row r="127" spans="1:9" ht="15">
      <c r="A127" s="268" t="s">
        <v>370</v>
      </c>
      <c r="B127" s="515">
        <f>'EU '!C157</f>
        <v>3726.848</v>
      </c>
      <c r="C127" s="515">
        <f>'EU '!D157</f>
        <v>11218.98</v>
      </c>
      <c r="D127" s="463">
        <f>B127+C127</f>
        <v>14945.828</v>
      </c>
      <c r="E127" s="515">
        <f>'EU '!E157</f>
        <v>3491.292</v>
      </c>
      <c r="F127" s="515">
        <f>'EU '!F157</f>
        <v>0.9670000000000001</v>
      </c>
      <c r="G127" s="463">
        <f>SUM(E127:F127)</f>
        <v>3492.259</v>
      </c>
      <c r="H127" s="515">
        <f>'EU '!G157</f>
        <v>33343.111</v>
      </c>
      <c r="I127" s="463">
        <f>D127+G127+H127</f>
        <v>51781.198</v>
      </c>
    </row>
    <row r="128" spans="1:9" ht="15">
      <c r="A128" s="268" t="s">
        <v>371</v>
      </c>
      <c r="B128" s="463">
        <f>'EU '!C158</f>
        <v>640.755</v>
      </c>
      <c r="C128" s="463">
        <f>'EU '!D158</f>
        <v>1979.82</v>
      </c>
      <c r="D128" s="463">
        <f>B128+C128</f>
        <v>2620.575</v>
      </c>
      <c r="E128" s="463">
        <f>'EU '!E158</f>
        <v>610.36</v>
      </c>
      <c r="F128" s="463">
        <f>'EU '!F158</f>
        <v>0</v>
      </c>
      <c r="G128" s="463">
        <f>SUM(E128:F128)</f>
        <v>610.36</v>
      </c>
      <c r="H128" s="463">
        <f>'EU '!G158</f>
        <v>5851.05</v>
      </c>
      <c r="I128" s="463">
        <f>D128+G128+H128</f>
        <v>9081.985</v>
      </c>
    </row>
    <row r="129" spans="1:9" ht="15">
      <c r="A129" s="266" t="s">
        <v>372</v>
      </c>
      <c r="B129" s="464">
        <f>B126+B127+B128</f>
        <v>33524.602999999996</v>
      </c>
      <c r="C129" s="464">
        <f>C126+C127+C128</f>
        <v>38527.799999999996</v>
      </c>
      <c r="D129" s="464">
        <f>B129+C129</f>
        <v>72052.40299999999</v>
      </c>
      <c r="E129" s="464">
        <f>E126+E127+E128</f>
        <v>19417.652000000002</v>
      </c>
      <c r="F129" s="464">
        <f>F126+F127+F128</f>
        <v>292.967</v>
      </c>
      <c r="G129" s="464">
        <f>G126+G127+G128</f>
        <v>19710.619</v>
      </c>
      <c r="H129" s="464">
        <f>H126+H127+H128</f>
        <v>194915.161</v>
      </c>
      <c r="I129" s="464">
        <f>D129+G129+H129</f>
        <v>286678.18299999996</v>
      </c>
    </row>
    <row r="130" spans="1:9" ht="15">
      <c r="A130" s="268" t="s">
        <v>373</v>
      </c>
      <c r="B130" s="463"/>
      <c r="C130" s="463"/>
      <c r="D130" s="463"/>
      <c r="E130" s="463"/>
      <c r="F130" s="463"/>
      <c r="G130" s="463"/>
      <c r="H130" s="463"/>
      <c r="I130" s="464">
        <f>225815+55012.371</f>
        <v>280827.371</v>
      </c>
    </row>
    <row r="131" spans="1:9" ht="15">
      <c r="A131" s="268" t="s">
        <v>374</v>
      </c>
      <c r="B131" s="463"/>
      <c r="C131" s="463"/>
      <c r="D131" s="463"/>
      <c r="E131" s="463"/>
      <c r="F131" s="463"/>
      <c r="G131" s="463"/>
      <c r="H131" s="463"/>
      <c r="I131" s="463">
        <f>I126</f>
        <v>225815</v>
      </c>
    </row>
    <row r="132" spans="1:12" ht="15">
      <c r="A132" s="269" t="s">
        <v>375</v>
      </c>
      <c r="B132" s="516">
        <v>4305.247</v>
      </c>
      <c r="C132" s="516">
        <v>7594.22975</v>
      </c>
      <c r="D132" s="465">
        <f>B132+C132</f>
        <v>11899.476750000002</v>
      </c>
      <c r="E132" s="516">
        <f>G132-F132</f>
        <v>4037.7367799999997</v>
      </c>
      <c r="F132" s="516">
        <f>B132*0.01</f>
        <v>43.05247000000001</v>
      </c>
      <c r="G132" s="516">
        <v>4080.78925</v>
      </c>
      <c r="H132" s="516">
        <v>39032.107</v>
      </c>
      <c r="I132" s="465">
        <f>B132+C132+F132+E132+H132</f>
        <v>55012.37300000001</v>
      </c>
      <c r="K132" s="518"/>
      <c r="L132" s="518"/>
    </row>
    <row r="133" spans="2:9" ht="15">
      <c r="B133" s="517" t="s">
        <v>656</v>
      </c>
      <c r="C133" s="518"/>
      <c r="D133" s="518"/>
      <c r="E133" s="518"/>
      <c r="F133" s="518"/>
      <c r="G133" s="518"/>
      <c r="H133" s="518"/>
      <c r="I133" s="466">
        <f>I130-I129</f>
        <v>-5850.811999999976</v>
      </c>
    </row>
    <row r="134" spans="2:9" ht="12.75">
      <c r="B134" s="518"/>
      <c r="C134" s="518"/>
      <c r="D134" s="518"/>
      <c r="E134" s="518"/>
      <c r="F134" s="518"/>
      <c r="G134" s="518"/>
      <c r="H134" s="518"/>
      <c r="I134" s="518"/>
    </row>
    <row r="135" spans="1:9" ht="15">
      <c r="A135" s="266" t="s">
        <v>207</v>
      </c>
      <c r="B135" s="520" t="s">
        <v>364</v>
      </c>
      <c r="C135" s="520" t="s">
        <v>365</v>
      </c>
      <c r="D135" s="521" t="s">
        <v>133</v>
      </c>
      <c r="E135" s="520" t="s">
        <v>366</v>
      </c>
      <c r="F135" s="520" t="s">
        <v>21</v>
      </c>
      <c r="G135" s="520" t="s">
        <v>376</v>
      </c>
      <c r="H135" s="520" t="s">
        <v>368</v>
      </c>
      <c r="I135" s="520" t="s">
        <v>102</v>
      </c>
    </row>
    <row r="136" spans="1:9" ht="15">
      <c r="A136" s="268" t="s">
        <v>369</v>
      </c>
      <c r="B136" s="515">
        <f>UR12!C97+UR12!C98</f>
        <v>1322</v>
      </c>
      <c r="C136" s="515">
        <f>UR12!D97+UR12!D98</f>
        <v>960</v>
      </c>
      <c r="D136" s="463">
        <f>B136+C136</f>
        <v>2282</v>
      </c>
      <c r="E136" s="515">
        <f>UR12!F97+UR12!F98</f>
        <v>704</v>
      </c>
      <c r="F136" s="515">
        <f>UR12!G97+UR12!G98</f>
        <v>13</v>
      </c>
      <c r="G136" s="463">
        <f>SUM(E136:F136)</f>
        <v>717</v>
      </c>
      <c r="H136" s="463">
        <f>UR12!H97+UR12!H98</f>
        <v>1484</v>
      </c>
      <c r="I136" s="463">
        <f>D136+G136+H136</f>
        <v>4483</v>
      </c>
    </row>
    <row r="137" spans="1:9" ht="15">
      <c r="A137" s="268" t="s">
        <v>370</v>
      </c>
      <c r="B137" s="515"/>
      <c r="C137" s="515"/>
      <c r="D137" s="463">
        <f>B137+C137</f>
        <v>0</v>
      </c>
      <c r="E137" s="463"/>
      <c r="F137" s="463"/>
      <c r="G137" s="463">
        <f>SUM(E137:F137)</f>
        <v>0</v>
      </c>
      <c r="H137" s="463"/>
      <c r="I137" s="463">
        <f>D137+G137+H137</f>
        <v>0</v>
      </c>
    </row>
    <row r="138" spans="1:9" ht="15">
      <c r="A138" s="268" t="s">
        <v>371</v>
      </c>
      <c r="B138" s="469"/>
      <c r="C138" s="463"/>
      <c r="D138" s="463">
        <f>B138+C138</f>
        <v>0</v>
      </c>
      <c r="E138" s="463"/>
      <c r="F138" s="463"/>
      <c r="G138" s="463">
        <f>SUM(E138:F138)</f>
        <v>0</v>
      </c>
      <c r="H138" s="463"/>
      <c r="I138" s="463">
        <f>D138+G138+H138</f>
        <v>0</v>
      </c>
    </row>
    <row r="139" spans="1:9" ht="15">
      <c r="A139" s="266" t="s">
        <v>372</v>
      </c>
      <c r="B139" s="464">
        <f>B136+B137+B138</f>
        <v>1322</v>
      </c>
      <c r="C139" s="464">
        <f>C136+C137+C138</f>
        <v>960</v>
      </c>
      <c r="D139" s="464">
        <f>B139+C139</f>
        <v>2282</v>
      </c>
      <c r="E139" s="464">
        <f>E136+E137+E138</f>
        <v>704</v>
      </c>
      <c r="F139" s="464">
        <f>F136+F137+F138</f>
        <v>13</v>
      </c>
      <c r="G139" s="464">
        <f>G136+G137+G138</f>
        <v>717</v>
      </c>
      <c r="H139" s="464">
        <f>H136+H137+H138</f>
        <v>1484</v>
      </c>
      <c r="I139" s="464">
        <f>D139+G139+H139</f>
        <v>4483</v>
      </c>
    </row>
    <row r="140" spans="1:9" ht="15">
      <c r="A140" s="268" t="s">
        <v>373</v>
      </c>
      <c r="B140" s="463"/>
      <c r="C140" s="463"/>
      <c r="D140" s="463"/>
      <c r="E140" s="463"/>
      <c r="F140" s="463"/>
      <c r="G140" s="463"/>
      <c r="H140" s="463"/>
      <c r="I140" s="464">
        <v>4483</v>
      </c>
    </row>
    <row r="141" spans="1:9" ht="15">
      <c r="A141" s="268" t="s">
        <v>374</v>
      </c>
      <c r="B141" s="463"/>
      <c r="C141" s="463"/>
      <c r="D141" s="463"/>
      <c r="E141" s="463"/>
      <c r="F141" s="463"/>
      <c r="G141" s="463"/>
      <c r="H141" s="463"/>
      <c r="I141" s="463">
        <f>I136</f>
        <v>4483</v>
      </c>
    </row>
    <row r="142" spans="1:12" ht="15">
      <c r="A142" s="269" t="s">
        <v>375</v>
      </c>
      <c r="B142" s="516"/>
      <c r="C142" s="516"/>
      <c r="D142" s="465">
        <f>B142+C142</f>
        <v>0</v>
      </c>
      <c r="E142" s="516">
        <f>G142-F142</f>
        <v>0</v>
      </c>
      <c r="F142" s="516">
        <f>B142*0.01</f>
        <v>0</v>
      </c>
      <c r="G142" s="516"/>
      <c r="H142" s="516"/>
      <c r="I142" s="465">
        <f>B142+C142+F142+E142+H142</f>
        <v>0</v>
      </c>
      <c r="K142" s="518"/>
      <c r="L142" s="518"/>
    </row>
    <row r="143" spans="2:9" ht="15">
      <c r="B143" s="517" t="s">
        <v>656</v>
      </c>
      <c r="C143" s="518"/>
      <c r="D143" s="518"/>
      <c r="E143" s="518"/>
      <c r="F143" s="518"/>
      <c r="G143" s="518"/>
      <c r="H143" s="518"/>
      <c r="I143" s="466">
        <f>I140-I139</f>
        <v>0</v>
      </c>
    </row>
    <row r="144" spans="2:9" ht="12.75">
      <c r="B144" s="518"/>
      <c r="C144" s="518"/>
      <c r="D144" s="518"/>
      <c r="E144" s="518"/>
      <c r="F144" s="518"/>
      <c r="G144" s="518"/>
      <c r="H144" s="518"/>
      <c r="I144" s="518"/>
    </row>
    <row r="145" spans="1:9" ht="15">
      <c r="A145" s="266" t="s">
        <v>101</v>
      </c>
      <c r="B145" s="520" t="s">
        <v>364</v>
      </c>
      <c r="C145" s="520" t="s">
        <v>365</v>
      </c>
      <c r="D145" s="521" t="s">
        <v>133</v>
      </c>
      <c r="E145" s="520" t="s">
        <v>366</v>
      </c>
      <c r="F145" s="520" t="s">
        <v>21</v>
      </c>
      <c r="G145" s="520" t="s">
        <v>376</v>
      </c>
      <c r="H145" s="520" t="s">
        <v>368</v>
      </c>
      <c r="I145" s="520" t="s">
        <v>102</v>
      </c>
    </row>
    <row r="146" spans="1:9" ht="15">
      <c r="A146" s="268" t="s">
        <v>369</v>
      </c>
      <c r="B146" s="515">
        <f>UR12!C100</f>
        <v>2390</v>
      </c>
      <c r="C146" s="515">
        <f>UR12!D100</f>
        <v>383</v>
      </c>
      <c r="D146" s="463">
        <f>B146+C146</f>
        <v>2773</v>
      </c>
      <c r="E146" s="463">
        <f>UR12!F100</f>
        <v>827</v>
      </c>
      <c r="F146" s="463">
        <f>UR12!G100</f>
        <v>24</v>
      </c>
      <c r="G146" s="463">
        <f>SUM(E146:F146)</f>
        <v>851</v>
      </c>
      <c r="H146" s="463">
        <f>UR12!H100</f>
        <v>8927</v>
      </c>
      <c r="I146" s="463">
        <f>D146+G146+H146</f>
        <v>12551</v>
      </c>
    </row>
    <row r="147" spans="1:9" ht="15">
      <c r="A147" s="268" t="s">
        <v>370</v>
      </c>
      <c r="B147" s="515"/>
      <c r="C147" s="515"/>
      <c r="D147" s="463">
        <f>B147+C147</f>
        <v>0</v>
      </c>
      <c r="E147" s="463"/>
      <c r="F147" s="463"/>
      <c r="G147" s="463">
        <f>SUM(E147:F147)</f>
        <v>0</v>
      </c>
      <c r="H147" s="463"/>
      <c r="I147" s="463">
        <f>D147+G147+H147</f>
        <v>0</v>
      </c>
    </row>
    <row r="148" spans="1:9" ht="15">
      <c r="A148" s="268" t="s">
        <v>371</v>
      </c>
      <c r="B148" s="469"/>
      <c r="C148" s="463"/>
      <c r="D148" s="463">
        <f>B148+C148</f>
        <v>0</v>
      </c>
      <c r="E148" s="463"/>
      <c r="F148" s="463"/>
      <c r="G148" s="463">
        <f>SUM(E148:F148)</f>
        <v>0</v>
      </c>
      <c r="H148" s="463"/>
      <c r="I148" s="463">
        <f>D148+G148+H148</f>
        <v>0</v>
      </c>
    </row>
    <row r="149" spans="1:9" ht="15">
      <c r="A149" s="266" t="s">
        <v>372</v>
      </c>
      <c r="B149" s="464">
        <f>B146+B147+B148</f>
        <v>2390</v>
      </c>
      <c r="C149" s="464">
        <f>C146+C147+C148</f>
        <v>383</v>
      </c>
      <c r="D149" s="464">
        <f>B149+C149</f>
        <v>2773</v>
      </c>
      <c r="E149" s="464">
        <f>E146+E147+E148</f>
        <v>827</v>
      </c>
      <c r="F149" s="464">
        <f>F146+F147+F148</f>
        <v>24</v>
      </c>
      <c r="G149" s="464">
        <f>G146+G147+G148</f>
        <v>851</v>
      </c>
      <c r="H149" s="464">
        <f>H146+H147+H148</f>
        <v>8927</v>
      </c>
      <c r="I149" s="464">
        <f>D149+G149+H149</f>
        <v>12551</v>
      </c>
    </row>
    <row r="150" spans="1:9" ht="15">
      <c r="A150" s="268" t="s">
        <v>373</v>
      </c>
      <c r="B150" s="463"/>
      <c r="C150" s="463"/>
      <c r="D150" s="463"/>
      <c r="E150" s="463"/>
      <c r="F150" s="463"/>
      <c r="G150" s="463"/>
      <c r="H150" s="463"/>
      <c r="I150" s="464">
        <v>12551</v>
      </c>
    </row>
    <row r="151" spans="1:9" ht="15">
      <c r="A151" s="268" t="s">
        <v>374</v>
      </c>
      <c r="B151" s="463"/>
      <c r="C151" s="463"/>
      <c r="D151" s="463"/>
      <c r="E151" s="463"/>
      <c r="F151" s="463"/>
      <c r="G151" s="463"/>
      <c r="H151" s="463"/>
      <c r="I151" s="463">
        <f>I146</f>
        <v>12551</v>
      </c>
    </row>
    <row r="152" spans="1:12" ht="15">
      <c r="A152" s="269" t="s">
        <v>375</v>
      </c>
      <c r="B152" s="516"/>
      <c r="C152" s="516"/>
      <c r="D152" s="465">
        <f>B152+C152</f>
        <v>0</v>
      </c>
      <c r="E152" s="516">
        <f>G152-F152</f>
        <v>0</v>
      </c>
      <c r="F152" s="516">
        <f>B152*0.01</f>
        <v>0</v>
      </c>
      <c r="G152" s="516"/>
      <c r="H152" s="516"/>
      <c r="I152" s="465">
        <f>B152+C152+F152+E152+H152</f>
        <v>0</v>
      </c>
      <c r="K152" s="518"/>
      <c r="L152" s="518"/>
    </row>
    <row r="153" spans="2:9" ht="15">
      <c r="B153" s="517" t="s">
        <v>656</v>
      </c>
      <c r="C153" s="518"/>
      <c r="D153" s="518"/>
      <c r="E153" s="518"/>
      <c r="F153" s="518"/>
      <c r="G153" s="518"/>
      <c r="H153" s="518"/>
      <c r="I153" s="466">
        <f>I150-I149</f>
        <v>0</v>
      </c>
    </row>
    <row r="154" spans="2:9" ht="15">
      <c r="B154" s="517"/>
      <c r="C154" s="518"/>
      <c r="D154" s="518"/>
      <c r="E154" s="518"/>
      <c r="F154" s="518"/>
      <c r="G154" s="518"/>
      <c r="H154" s="518"/>
      <c r="I154" s="466"/>
    </row>
    <row r="155" spans="1:9" ht="15">
      <c r="A155" s="266" t="s">
        <v>102</v>
      </c>
      <c r="B155" s="520" t="s">
        <v>364</v>
      </c>
      <c r="C155" s="520" t="s">
        <v>365</v>
      </c>
      <c r="D155" s="521" t="s">
        <v>133</v>
      </c>
      <c r="E155" s="520" t="s">
        <v>366</v>
      </c>
      <c r="F155" s="520" t="s">
        <v>21</v>
      </c>
      <c r="G155" s="520" t="s">
        <v>376</v>
      </c>
      <c r="H155" s="520" t="s">
        <v>368</v>
      </c>
      <c r="I155" s="520" t="s">
        <v>102</v>
      </c>
    </row>
    <row r="156" spans="1:9" ht="15">
      <c r="A156" s="268" t="s">
        <v>369</v>
      </c>
      <c r="B156" s="515">
        <f aca="true" t="shared" si="0" ref="B156:H158">B6+B16+B26+B36+B46+B56+B66+B76+B86+B96+B106+B116+B126+B136+B146</f>
        <v>208160</v>
      </c>
      <c r="C156" s="515">
        <f t="shared" si="0"/>
        <v>75860</v>
      </c>
      <c r="D156" s="515">
        <f t="shared" si="0"/>
        <v>284020</v>
      </c>
      <c r="E156" s="515">
        <f t="shared" si="0"/>
        <v>81177</v>
      </c>
      <c r="F156" s="515">
        <f t="shared" si="0"/>
        <v>2192</v>
      </c>
      <c r="G156" s="515">
        <f t="shared" si="0"/>
        <v>83369</v>
      </c>
      <c r="H156" s="515">
        <f t="shared" si="0"/>
        <v>568083</v>
      </c>
      <c r="I156" s="463">
        <f>D156+G156+H156</f>
        <v>935472</v>
      </c>
    </row>
    <row r="157" spans="1:9" ht="15">
      <c r="A157" s="268" t="s">
        <v>370</v>
      </c>
      <c r="B157" s="515">
        <f t="shared" si="0"/>
        <v>97304.883</v>
      </c>
      <c r="C157" s="515">
        <f t="shared" si="0"/>
        <v>199303.75</v>
      </c>
      <c r="D157" s="515">
        <f t="shared" si="0"/>
        <v>296608.633</v>
      </c>
      <c r="E157" s="515">
        <f t="shared" si="0"/>
        <v>60732.293000000005</v>
      </c>
      <c r="F157" s="515">
        <f t="shared" si="0"/>
        <v>1537.9750000000001</v>
      </c>
      <c r="G157" s="515">
        <f t="shared" si="0"/>
        <v>62270.268</v>
      </c>
      <c r="H157" s="515">
        <f t="shared" si="0"/>
        <v>249806.61499999996</v>
      </c>
      <c r="I157" s="463">
        <f>D157+G157+H157</f>
        <v>608685.516</v>
      </c>
    </row>
    <row r="158" spans="1:9" ht="15">
      <c r="A158" s="268" t="s">
        <v>371</v>
      </c>
      <c r="B158" s="515">
        <f t="shared" si="0"/>
        <v>14170.721999999998</v>
      </c>
      <c r="C158" s="515">
        <f t="shared" si="0"/>
        <v>29008.796000000002</v>
      </c>
      <c r="D158" s="515">
        <f t="shared" si="0"/>
        <v>43179.518000000004</v>
      </c>
      <c r="E158" s="515">
        <f t="shared" si="0"/>
        <v>9084.703000000001</v>
      </c>
      <c r="F158" s="515">
        <f t="shared" si="0"/>
        <v>250.458</v>
      </c>
      <c r="G158" s="515">
        <f t="shared" si="0"/>
        <v>9335.161</v>
      </c>
      <c r="H158" s="515">
        <f t="shared" si="0"/>
        <v>56459.996</v>
      </c>
      <c r="I158" s="463">
        <f>D158+G158+H158</f>
        <v>108974.675</v>
      </c>
    </row>
    <row r="159" spans="1:9" ht="15">
      <c r="A159" s="266" t="s">
        <v>372</v>
      </c>
      <c r="B159" s="464">
        <f>B156+B157+B158</f>
        <v>319635.60500000004</v>
      </c>
      <c r="C159" s="464">
        <f>C156+C157+C158</f>
        <v>304172.546</v>
      </c>
      <c r="D159" s="464">
        <f>B159+C159</f>
        <v>623808.1510000001</v>
      </c>
      <c r="E159" s="464">
        <f>E156+E157+E158</f>
        <v>150993.996</v>
      </c>
      <c r="F159" s="464">
        <f>F156+F157+F158</f>
        <v>3980.4330000000004</v>
      </c>
      <c r="G159" s="464">
        <f>G156+G157+G158</f>
        <v>154974.42899999997</v>
      </c>
      <c r="H159" s="464">
        <f>H156+H157+H158</f>
        <v>874349.611</v>
      </c>
      <c r="I159" s="464">
        <f>D159+G159+H159</f>
        <v>1653132.191</v>
      </c>
    </row>
    <row r="160" spans="1:9" ht="15">
      <c r="A160" s="268" t="s">
        <v>373</v>
      </c>
      <c r="B160" s="515">
        <f>B60+B50+B80+B90+B100+B110</f>
        <v>0</v>
      </c>
      <c r="C160" s="463"/>
      <c r="D160" s="463"/>
      <c r="E160" s="463"/>
      <c r="F160" s="463"/>
      <c r="G160" s="463"/>
      <c r="H160" s="463"/>
      <c r="I160" s="464">
        <f>I10+I20+I30+I40+I50+I60+I70+I80+I90+I100+I110+I120+I130+I140+I150</f>
        <v>1489451.103</v>
      </c>
    </row>
    <row r="161" spans="1:9" ht="15">
      <c r="A161" s="268" t="s">
        <v>374</v>
      </c>
      <c r="B161" s="463"/>
      <c r="C161" s="463"/>
      <c r="D161" s="463"/>
      <c r="E161" s="463"/>
      <c r="F161" s="463"/>
      <c r="G161" s="463"/>
      <c r="H161" s="463"/>
      <c r="I161" s="464">
        <f>I11+I21+I31+I41+I51+I61+I71+I81+I91+I101+I111+I121+I131+I141+I151</f>
        <v>927677</v>
      </c>
    </row>
    <row r="162" spans="1:12" ht="15">
      <c r="A162" s="269" t="s">
        <v>375</v>
      </c>
      <c r="B162" s="516">
        <f aca="true" t="shared" si="1" ref="B162:I162">B12+B22+B32+B42+B52+B62+B72+B82+B92+B102+B112+B122+B132+B142+B152</f>
        <v>81548.54413000001</v>
      </c>
      <c r="C162" s="516">
        <f t="shared" si="1"/>
        <v>156011.27033</v>
      </c>
      <c r="D162" s="465">
        <f t="shared" si="1"/>
        <v>237559.81446000002</v>
      </c>
      <c r="E162" s="516">
        <f t="shared" si="1"/>
        <v>50579.05528</v>
      </c>
      <c r="F162" s="516">
        <f t="shared" si="1"/>
        <v>894.36442</v>
      </c>
      <c r="G162" s="523">
        <f t="shared" si="1"/>
        <v>51473.419700000006</v>
      </c>
      <c r="H162" s="516">
        <f t="shared" si="1"/>
        <v>242872.68437000003</v>
      </c>
      <c r="I162" s="465">
        <f t="shared" si="1"/>
        <v>531905.91853</v>
      </c>
      <c r="K162" s="518"/>
      <c r="L162" s="518"/>
    </row>
    <row r="163" spans="2:9" ht="15">
      <c r="B163" s="517" t="s">
        <v>656</v>
      </c>
      <c r="C163" s="271"/>
      <c r="D163" s="271"/>
      <c r="E163" s="518"/>
      <c r="F163" s="518"/>
      <c r="G163" s="518"/>
      <c r="H163" s="518"/>
      <c r="I163" s="466">
        <f>I160-I159</f>
        <v>-163681.08800000022</v>
      </c>
    </row>
    <row r="164" spans="5:12" ht="12.75">
      <c r="E164" s="551"/>
      <c r="F164" s="551"/>
      <c r="G164" s="551"/>
      <c r="H164" s="551"/>
      <c r="L164" s="518"/>
    </row>
    <row r="165" spans="1:12" ht="12.75">
      <c r="A165" s="81" t="s">
        <v>377</v>
      </c>
      <c r="E165" s="127"/>
      <c r="F165" s="127"/>
      <c r="G165" s="127"/>
      <c r="H165" s="551"/>
      <c r="L165" s="518"/>
    </row>
    <row r="166" ht="12.75">
      <c r="L166" s="518"/>
    </row>
    <row r="167" spans="1:12" ht="12.75">
      <c r="A167" s="265" t="s">
        <v>378</v>
      </c>
      <c r="I167" s="271">
        <f>I161</f>
        <v>927677</v>
      </c>
      <c r="L167" s="518"/>
    </row>
    <row r="168" spans="1:9" ht="12.75">
      <c r="A168" s="265" t="s">
        <v>370</v>
      </c>
      <c r="I168" s="517">
        <f>I157</f>
        <v>608685.516</v>
      </c>
    </row>
    <row r="169" spans="1:10" ht="12.75">
      <c r="A169" s="265" t="s">
        <v>371</v>
      </c>
      <c r="I169" s="517">
        <f>I158</f>
        <v>108974.675</v>
      </c>
      <c r="J169" s="270"/>
    </row>
    <row r="170" spans="1:9" ht="12.75">
      <c r="A170" s="265"/>
      <c r="I170" s="271">
        <f>I167+I168+I169</f>
        <v>1645337.1909999999</v>
      </c>
    </row>
    <row r="171" spans="1:9" ht="12.75">
      <c r="A171" s="265"/>
      <c r="I171" s="271"/>
    </row>
    <row r="172" spans="1:9" ht="12.75">
      <c r="A172" s="265" t="s">
        <v>379</v>
      </c>
      <c r="I172" s="271">
        <f>I160</f>
        <v>1489451.103</v>
      </c>
    </row>
    <row r="173" spans="1:9" ht="12.75">
      <c r="A173" s="265" t="s">
        <v>380</v>
      </c>
      <c r="I173" s="271">
        <f>I156</f>
        <v>935472</v>
      </c>
    </row>
    <row r="174" spans="1:9" ht="12.75">
      <c r="A174" s="265" t="s">
        <v>381</v>
      </c>
      <c r="H174" s="265"/>
      <c r="I174" s="271">
        <f>I172-I173</f>
        <v>553979.1029999999</v>
      </c>
    </row>
    <row r="175" spans="8:11" ht="12.75">
      <c r="H175" s="265"/>
      <c r="I175" s="81"/>
      <c r="K175" s="270"/>
    </row>
    <row r="176" ht="12.75">
      <c r="N176" s="265" t="s">
        <v>382</v>
      </c>
    </row>
  </sheetData>
  <sheetProtection/>
  <mergeCells count="1">
    <mergeCell ref="A3:I3"/>
  </mergeCells>
  <printOptions horizontalCentered="1"/>
  <pageMargins left="0.2362204724409449" right="0.2755905511811024" top="0.5905511811023623" bottom="0" header="0.31496062992125984" footer="0.31496062992125984"/>
  <pageSetup fitToHeight="2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0.140625" style="363" customWidth="1"/>
    <col min="2" max="2" width="41.8515625" style="363" customWidth="1"/>
    <col min="3" max="4" width="12.57421875" style="363" bestFit="1" customWidth="1"/>
    <col min="5" max="5" width="11.421875" style="363" bestFit="1" customWidth="1"/>
    <col min="6" max="6" width="10.28125" style="363" bestFit="1" customWidth="1"/>
    <col min="7" max="7" width="12.57421875" style="363" bestFit="1" customWidth="1"/>
    <col min="8" max="8" width="12.7109375" style="363" bestFit="1" customWidth="1"/>
    <col min="9" max="9" width="12.7109375" style="363" hidden="1" customWidth="1"/>
    <col min="10" max="10" width="7.57421875" style="363" bestFit="1" customWidth="1"/>
    <col min="11" max="11" width="9.140625" style="363" customWidth="1"/>
    <col min="12" max="12" width="11.421875" style="363" bestFit="1" customWidth="1"/>
    <col min="13" max="16384" width="9.140625" style="363" customWidth="1"/>
  </cols>
  <sheetData>
    <row r="1" spans="1:9" ht="15.75">
      <c r="A1" s="130" t="s">
        <v>672</v>
      </c>
      <c r="H1" s="130" t="s">
        <v>130</v>
      </c>
      <c r="I1" s="130"/>
    </row>
    <row r="2" spans="1:9" ht="15.75">
      <c r="A2" s="556" t="s">
        <v>663</v>
      </c>
      <c r="H2" s="130"/>
      <c r="I2" s="130"/>
    </row>
    <row r="3" spans="8:9" ht="15.75" thickBot="1">
      <c r="H3" t="s">
        <v>1</v>
      </c>
      <c r="I3"/>
    </row>
    <row r="4" spans="1:10" ht="39" thickBot="1">
      <c r="A4" s="364" t="s">
        <v>142</v>
      </c>
      <c r="B4" s="365" t="s">
        <v>143</v>
      </c>
      <c r="C4" s="557" t="s">
        <v>664</v>
      </c>
      <c r="D4" s="557" t="s">
        <v>665</v>
      </c>
      <c r="E4" s="365" t="s">
        <v>313</v>
      </c>
      <c r="F4" s="365" t="s">
        <v>314</v>
      </c>
      <c r="G4" s="557" t="s">
        <v>666</v>
      </c>
      <c r="H4" s="557" t="s">
        <v>667</v>
      </c>
      <c r="I4" s="366"/>
      <c r="J4" s="365" t="s">
        <v>315</v>
      </c>
    </row>
    <row r="5" spans="1:10" ht="15" hidden="1">
      <c r="A5" s="367" t="s">
        <v>426</v>
      </c>
      <c r="B5" s="368" t="s">
        <v>427</v>
      </c>
      <c r="C5" s="467">
        <v>239.19</v>
      </c>
      <c r="D5" s="467">
        <v>13889.255</v>
      </c>
      <c r="E5" s="467">
        <v>4886.48</v>
      </c>
      <c r="F5" s="467">
        <v>4.845</v>
      </c>
      <c r="G5" s="467">
        <v>1572.67</v>
      </c>
      <c r="H5" s="467">
        <v>20592.44</v>
      </c>
      <c r="I5" s="468">
        <v>20592.44</v>
      </c>
      <c r="J5" s="369">
        <v>1.7</v>
      </c>
    </row>
    <row r="6" spans="1:10" ht="15" hidden="1">
      <c r="A6" s="148" t="s">
        <v>428</v>
      </c>
      <c r="B6" s="370" t="s">
        <v>429</v>
      </c>
      <c r="C6" s="463">
        <v>0</v>
      </c>
      <c r="D6" s="463"/>
      <c r="E6" s="463"/>
      <c r="F6" s="463"/>
      <c r="G6" s="463"/>
      <c r="H6" s="463">
        <v>0</v>
      </c>
      <c r="I6" s="469">
        <v>0</v>
      </c>
      <c r="J6" s="371">
        <v>0.3</v>
      </c>
    </row>
    <row r="7" spans="1:10" ht="15" hidden="1">
      <c r="A7" s="148" t="s">
        <v>430</v>
      </c>
      <c r="B7" s="370" t="s">
        <v>431</v>
      </c>
      <c r="C7" s="463">
        <v>7541.88</v>
      </c>
      <c r="D7" s="463">
        <v>13687.975</v>
      </c>
      <c r="E7" s="463">
        <v>5048.575</v>
      </c>
      <c r="F7" s="463">
        <v>151.045</v>
      </c>
      <c r="G7" s="463">
        <v>6713.13</v>
      </c>
      <c r="H7" s="463">
        <v>33142.605</v>
      </c>
      <c r="I7" s="469">
        <v>33142.605</v>
      </c>
      <c r="J7" s="371">
        <v>8.5</v>
      </c>
    </row>
    <row r="8" spans="1:10" ht="15.75" hidden="1" thickBot="1">
      <c r="A8" s="372" t="s">
        <v>432</v>
      </c>
      <c r="B8" s="373" t="s">
        <v>433</v>
      </c>
      <c r="C8" s="470">
        <v>0</v>
      </c>
      <c r="D8" s="470"/>
      <c r="E8" s="470"/>
      <c r="F8" s="470"/>
      <c r="G8" s="470"/>
      <c r="H8" s="470">
        <v>0</v>
      </c>
      <c r="I8" s="471">
        <v>0</v>
      </c>
      <c r="J8" s="374">
        <v>1.5</v>
      </c>
    </row>
    <row r="9" spans="1:10" ht="15.75" hidden="1" thickBot="1">
      <c r="A9" s="375"/>
      <c r="B9" s="376" t="s">
        <v>361</v>
      </c>
      <c r="C9" s="472">
        <f>SUM(C5:C8)</f>
        <v>7781.07</v>
      </c>
      <c r="D9" s="472">
        <f aca="true" t="shared" si="0" ref="D9:J9">SUM(D5:D8)</f>
        <v>27577.23</v>
      </c>
      <c r="E9" s="472">
        <f t="shared" si="0"/>
        <v>9935.055</v>
      </c>
      <c r="F9" s="472">
        <f t="shared" si="0"/>
        <v>155.89</v>
      </c>
      <c r="G9" s="472">
        <f t="shared" si="0"/>
        <v>8285.8</v>
      </c>
      <c r="H9" s="472">
        <f t="shared" si="0"/>
        <v>53735.045</v>
      </c>
      <c r="I9" s="473">
        <f>SUM(I5:I8)</f>
        <v>53735.045</v>
      </c>
      <c r="J9" s="376">
        <f t="shared" si="0"/>
        <v>12</v>
      </c>
    </row>
    <row r="10" spans="1:10" ht="15" hidden="1">
      <c r="A10" s="377" t="s">
        <v>428</v>
      </c>
      <c r="B10" s="378" t="s">
        <v>429</v>
      </c>
      <c r="C10" s="474">
        <v>42.21</v>
      </c>
      <c r="D10" s="475">
        <v>2451.045</v>
      </c>
      <c r="E10" s="475">
        <v>862.32</v>
      </c>
      <c r="F10" s="475">
        <v>0.855</v>
      </c>
      <c r="G10" s="475">
        <v>277.53</v>
      </c>
      <c r="H10" s="475">
        <v>3633.96</v>
      </c>
      <c r="I10" s="476">
        <v>3633.96</v>
      </c>
      <c r="J10" s="374"/>
    </row>
    <row r="11" spans="1:10" ht="15.75" hidden="1" thickBot="1">
      <c r="A11" s="379" t="s">
        <v>434</v>
      </c>
      <c r="B11" s="380" t="s">
        <v>433</v>
      </c>
      <c r="C11" s="477">
        <v>1330.92</v>
      </c>
      <c r="D11" s="478">
        <v>2415.525</v>
      </c>
      <c r="E11" s="478">
        <v>890.925</v>
      </c>
      <c r="F11" s="478">
        <v>26.655</v>
      </c>
      <c r="G11" s="478">
        <v>1184.67</v>
      </c>
      <c r="H11" s="478">
        <v>5848.695</v>
      </c>
      <c r="I11" s="471">
        <v>5848.695</v>
      </c>
      <c r="J11" s="374"/>
    </row>
    <row r="12" spans="1:10" ht="15.75" hidden="1" thickBot="1">
      <c r="A12" s="381"/>
      <c r="B12" s="382" t="s">
        <v>362</v>
      </c>
      <c r="C12" s="479">
        <f aca="true" t="shared" si="1" ref="C12:J12">SUM(C10:C11)</f>
        <v>1373.13</v>
      </c>
      <c r="D12" s="479">
        <f t="shared" si="1"/>
        <v>4866.57</v>
      </c>
      <c r="E12" s="479">
        <f t="shared" si="1"/>
        <v>1753.245</v>
      </c>
      <c r="F12" s="479">
        <f t="shared" si="1"/>
        <v>27.51</v>
      </c>
      <c r="G12" s="479">
        <f t="shared" si="1"/>
        <v>1462.2</v>
      </c>
      <c r="H12" s="479">
        <f t="shared" si="1"/>
        <v>9482.654999999999</v>
      </c>
      <c r="I12" s="480">
        <f t="shared" si="1"/>
        <v>9482.654999999999</v>
      </c>
      <c r="J12" s="383">
        <f t="shared" si="1"/>
        <v>0</v>
      </c>
    </row>
    <row r="13" spans="1:10" ht="15.75" thickBot="1">
      <c r="A13" s="384"/>
      <c r="B13" s="385" t="s">
        <v>630</v>
      </c>
      <c r="C13" s="481">
        <f>SUM(C12,C9)</f>
        <v>9154.2</v>
      </c>
      <c r="D13" s="481">
        <f aca="true" t="shared" si="2" ref="D13:J13">SUM(D12,D9)</f>
        <v>32443.8</v>
      </c>
      <c r="E13" s="481">
        <f t="shared" si="2"/>
        <v>11688.3</v>
      </c>
      <c r="F13" s="481">
        <f t="shared" si="2"/>
        <v>183.39999999999998</v>
      </c>
      <c r="G13" s="481">
        <f t="shared" si="2"/>
        <v>9748</v>
      </c>
      <c r="H13" s="481">
        <f t="shared" si="2"/>
        <v>63217.7</v>
      </c>
      <c r="I13" s="481">
        <f t="shared" si="2"/>
        <v>63217.7</v>
      </c>
      <c r="J13" s="386">
        <f t="shared" si="2"/>
        <v>12</v>
      </c>
    </row>
    <row r="14" spans="1:10" ht="15" hidden="1">
      <c r="A14" s="141" t="s">
        <v>435</v>
      </c>
      <c r="B14" s="387" t="s">
        <v>436</v>
      </c>
      <c r="C14" s="482">
        <v>3781.82</v>
      </c>
      <c r="D14" s="482">
        <v>791.945</v>
      </c>
      <c r="E14" s="482">
        <v>1585.08</v>
      </c>
      <c r="F14" s="482">
        <v>75.735</v>
      </c>
      <c r="G14" s="482">
        <v>6237.385</v>
      </c>
      <c r="H14" s="482">
        <v>12471.965</v>
      </c>
      <c r="I14" s="476">
        <v>12471.965</v>
      </c>
      <c r="J14" s="388">
        <v>8.5</v>
      </c>
    </row>
    <row r="15" spans="1:10" ht="15" hidden="1">
      <c r="A15" s="148" t="s">
        <v>437</v>
      </c>
      <c r="B15" s="370" t="s">
        <v>438</v>
      </c>
      <c r="C15" s="463">
        <v>0</v>
      </c>
      <c r="D15" s="463"/>
      <c r="E15" s="463"/>
      <c r="F15" s="463"/>
      <c r="G15" s="463"/>
      <c r="H15" s="463">
        <v>0</v>
      </c>
      <c r="I15" s="469">
        <v>0</v>
      </c>
      <c r="J15" s="389">
        <v>1.5</v>
      </c>
    </row>
    <row r="16" spans="1:10" ht="15" hidden="1">
      <c r="A16" s="148" t="s">
        <v>439</v>
      </c>
      <c r="B16" s="370" t="s">
        <v>440</v>
      </c>
      <c r="C16" s="463">
        <v>0</v>
      </c>
      <c r="D16" s="463">
        <v>0</v>
      </c>
      <c r="E16" s="463">
        <v>0</v>
      </c>
      <c r="F16" s="463">
        <v>0</v>
      </c>
      <c r="G16" s="463">
        <v>0</v>
      </c>
      <c r="H16" s="463">
        <v>0</v>
      </c>
      <c r="I16" s="469">
        <v>0</v>
      </c>
      <c r="J16" s="389"/>
    </row>
    <row r="17" spans="1:10" ht="15" hidden="1">
      <c r="A17" s="148" t="s">
        <v>441</v>
      </c>
      <c r="B17" s="370" t="s">
        <v>442</v>
      </c>
      <c r="C17" s="463">
        <v>0</v>
      </c>
      <c r="D17" s="463"/>
      <c r="E17" s="463"/>
      <c r="F17" s="463"/>
      <c r="G17" s="463"/>
      <c r="H17" s="463">
        <v>0</v>
      </c>
      <c r="I17" s="469">
        <v>0</v>
      </c>
      <c r="J17" s="389">
        <v>2.22</v>
      </c>
    </row>
    <row r="18" spans="1:10" ht="15" hidden="1">
      <c r="A18" s="148" t="s">
        <v>443</v>
      </c>
      <c r="B18" s="370" t="s">
        <v>444</v>
      </c>
      <c r="C18" s="463">
        <v>569.415</v>
      </c>
      <c r="D18" s="463">
        <v>503.37</v>
      </c>
      <c r="E18" s="463">
        <v>361.76</v>
      </c>
      <c r="F18" s="463">
        <v>11.475</v>
      </c>
      <c r="G18" s="463">
        <v>976.99</v>
      </c>
      <c r="H18" s="463">
        <v>2423.01</v>
      </c>
      <c r="I18" s="469">
        <v>2423.01</v>
      </c>
      <c r="J18" s="389">
        <v>1.79</v>
      </c>
    </row>
    <row r="19" spans="1:10" ht="15.75" hidden="1" thickBot="1">
      <c r="A19" s="372" t="s">
        <v>445</v>
      </c>
      <c r="B19" s="373" t="s">
        <v>446</v>
      </c>
      <c r="C19" s="470">
        <v>0</v>
      </c>
      <c r="D19" s="470"/>
      <c r="E19" s="470"/>
      <c r="F19" s="470"/>
      <c r="G19" s="470"/>
      <c r="H19" s="470">
        <v>0</v>
      </c>
      <c r="I19" s="471">
        <v>0</v>
      </c>
      <c r="J19" s="390">
        <v>0.32</v>
      </c>
    </row>
    <row r="20" spans="1:10" ht="15.75" hidden="1" thickBot="1">
      <c r="A20" s="375"/>
      <c r="B20" s="376" t="s">
        <v>361</v>
      </c>
      <c r="C20" s="472">
        <f>SUM(C14:C19)</f>
        <v>4351.235000000001</v>
      </c>
      <c r="D20" s="472">
        <f aca="true" t="shared" si="3" ref="D20:J20">SUM(D14:D19)</f>
        <v>1295.315</v>
      </c>
      <c r="E20" s="472">
        <f t="shared" si="3"/>
        <v>1946.84</v>
      </c>
      <c r="F20" s="472">
        <f t="shared" si="3"/>
        <v>87.21</v>
      </c>
      <c r="G20" s="472">
        <f t="shared" si="3"/>
        <v>7214.375</v>
      </c>
      <c r="H20" s="472">
        <f t="shared" si="3"/>
        <v>14894.975</v>
      </c>
      <c r="I20" s="472">
        <f>SUM(I14:I19)</f>
        <v>14894.975</v>
      </c>
      <c r="J20" s="391">
        <f t="shared" si="3"/>
        <v>14.330000000000002</v>
      </c>
    </row>
    <row r="21" spans="1:10" ht="15" hidden="1">
      <c r="A21" s="377" t="s">
        <v>437</v>
      </c>
      <c r="B21" s="378" t="s">
        <v>438</v>
      </c>
      <c r="C21" s="475">
        <v>667.38</v>
      </c>
      <c r="D21" s="475">
        <v>139.755</v>
      </c>
      <c r="E21" s="475">
        <v>279.72</v>
      </c>
      <c r="F21" s="475">
        <v>13.365</v>
      </c>
      <c r="G21" s="475">
        <v>1100.715</v>
      </c>
      <c r="H21" s="475">
        <v>2200.935</v>
      </c>
      <c r="I21" s="476">
        <v>2200.935</v>
      </c>
      <c r="J21" s="374"/>
    </row>
    <row r="22" spans="1:10" ht="15.75" hidden="1" thickBot="1">
      <c r="A22" s="379" t="s">
        <v>445</v>
      </c>
      <c r="B22" s="380" t="s">
        <v>446</v>
      </c>
      <c r="C22" s="478">
        <v>100.485</v>
      </c>
      <c r="D22" s="478">
        <v>88.83</v>
      </c>
      <c r="E22" s="478">
        <v>63.84</v>
      </c>
      <c r="F22" s="478">
        <v>2.025</v>
      </c>
      <c r="G22" s="478">
        <v>172.41</v>
      </c>
      <c r="H22" s="478">
        <v>427.59</v>
      </c>
      <c r="I22" s="471">
        <v>427.59</v>
      </c>
      <c r="J22" s="374"/>
    </row>
    <row r="23" spans="1:10" ht="15.75" hidden="1" thickBot="1">
      <c r="A23" s="392"/>
      <c r="B23" s="393" t="s">
        <v>362</v>
      </c>
      <c r="C23" s="483">
        <f aca="true" t="shared" si="4" ref="C23:J23">SUM(C21:C22)</f>
        <v>767.865</v>
      </c>
      <c r="D23" s="483">
        <f t="shared" si="4"/>
        <v>228.58499999999998</v>
      </c>
      <c r="E23" s="483">
        <f t="shared" si="4"/>
        <v>343.56000000000006</v>
      </c>
      <c r="F23" s="483">
        <f t="shared" si="4"/>
        <v>15.39</v>
      </c>
      <c r="G23" s="483">
        <f t="shared" si="4"/>
        <v>1273.125</v>
      </c>
      <c r="H23" s="483">
        <f t="shared" si="4"/>
        <v>2628.525</v>
      </c>
      <c r="I23" s="473">
        <f t="shared" si="4"/>
        <v>2628.525</v>
      </c>
      <c r="J23" s="394">
        <f t="shared" si="4"/>
        <v>0</v>
      </c>
    </row>
    <row r="24" spans="1:10" ht="15.75" thickBot="1">
      <c r="A24" s="384"/>
      <c r="B24" s="385" t="s">
        <v>631</v>
      </c>
      <c r="C24" s="481">
        <f aca="true" t="shared" si="5" ref="C24:J24">SUM(C23,C20)</f>
        <v>5119.1</v>
      </c>
      <c r="D24" s="481">
        <f t="shared" si="5"/>
        <v>1523.9</v>
      </c>
      <c r="E24" s="481">
        <f t="shared" si="5"/>
        <v>2290.4</v>
      </c>
      <c r="F24" s="481">
        <f t="shared" si="5"/>
        <v>102.6</v>
      </c>
      <c r="G24" s="481">
        <f t="shared" si="5"/>
        <v>8487.5</v>
      </c>
      <c r="H24" s="481">
        <f t="shared" si="5"/>
        <v>17523.5</v>
      </c>
      <c r="I24" s="481">
        <f t="shared" si="5"/>
        <v>17523.5</v>
      </c>
      <c r="J24" s="386">
        <f t="shared" si="5"/>
        <v>14.330000000000002</v>
      </c>
    </row>
    <row r="25" spans="1:10" ht="15.75" hidden="1" thickBot="1">
      <c r="A25" s="381" t="s">
        <v>447</v>
      </c>
      <c r="B25" s="382" t="s">
        <v>448</v>
      </c>
      <c r="C25" s="484"/>
      <c r="D25" s="484"/>
      <c r="E25" s="484"/>
      <c r="F25" s="484"/>
      <c r="G25" s="484">
        <v>58</v>
      </c>
      <c r="H25" s="484">
        <v>58</v>
      </c>
      <c r="I25" s="480">
        <v>57.8</v>
      </c>
      <c r="J25" s="376"/>
    </row>
    <row r="26" spans="1:10" ht="15.75" hidden="1" thickBot="1">
      <c r="A26" s="381" t="s">
        <v>449</v>
      </c>
      <c r="B26" s="382" t="s">
        <v>450</v>
      </c>
      <c r="C26" s="484"/>
      <c r="D26" s="484"/>
      <c r="E26" s="484"/>
      <c r="F26" s="484"/>
      <c r="G26" s="484">
        <v>10</v>
      </c>
      <c r="H26" s="484">
        <v>10</v>
      </c>
      <c r="I26" s="480">
        <v>10.2</v>
      </c>
      <c r="J26" s="376"/>
    </row>
    <row r="27" spans="1:10" ht="15.75" thickBot="1">
      <c r="A27" s="384"/>
      <c r="B27" s="385" t="s">
        <v>632</v>
      </c>
      <c r="C27" s="554">
        <f aca="true" t="shared" si="6" ref="C27:I27">SUM(C25:C26)</f>
        <v>0</v>
      </c>
      <c r="D27" s="554">
        <f t="shared" si="6"/>
        <v>0</v>
      </c>
      <c r="E27" s="554">
        <f t="shared" si="6"/>
        <v>0</v>
      </c>
      <c r="F27" s="554">
        <f t="shared" si="6"/>
        <v>0</v>
      </c>
      <c r="G27" s="554">
        <f t="shared" si="6"/>
        <v>68</v>
      </c>
      <c r="H27" s="554">
        <f t="shared" si="6"/>
        <v>68</v>
      </c>
      <c r="I27" s="481">
        <f t="shared" si="6"/>
        <v>68</v>
      </c>
      <c r="J27" s="555"/>
    </row>
    <row r="28" spans="1:10" ht="15.75" hidden="1" thickBot="1">
      <c r="A28" s="528" t="s">
        <v>650</v>
      </c>
      <c r="B28" s="529" t="s">
        <v>648</v>
      </c>
      <c r="C28" s="530"/>
      <c r="D28" s="530"/>
      <c r="E28" s="530"/>
      <c r="F28" s="530"/>
      <c r="G28" s="530">
        <v>10.727</v>
      </c>
      <c r="H28" s="530">
        <v>10.727</v>
      </c>
      <c r="I28" s="530">
        <v>10.727</v>
      </c>
      <c r="J28" s="531"/>
    </row>
    <row r="29" spans="1:10" ht="15.75" hidden="1" thickBot="1">
      <c r="A29" s="528" t="s">
        <v>651</v>
      </c>
      <c r="B29" s="529" t="s">
        <v>649</v>
      </c>
      <c r="C29" s="530"/>
      <c r="D29" s="530"/>
      <c r="E29" s="530"/>
      <c r="F29" s="530"/>
      <c r="G29" s="530">
        <v>0</v>
      </c>
      <c r="H29" s="530">
        <v>0</v>
      </c>
      <c r="I29" s="530">
        <v>0</v>
      </c>
      <c r="J29" s="531"/>
    </row>
    <row r="30" spans="1:10" ht="15.75" hidden="1" thickBot="1">
      <c r="A30" s="526"/>
      <c r="B30" s="376" t="s">
        <v>361</v>
      </c>
      <c r="C30" s="473">
        <f aca="true" t="shared" si="7" ref="C30:J30">SUM(C28:C29)</f>
        <v>0</v>
      </c>
      <c r="D30" s="473">
        <f t="shared" si="7"/>
        <v>0</v>
      </c>
      <c r="E30" s="473">
        <f t="shared" si="7"/>
        <v>0</v>
      </c>
      <c r="F30" s="473">
        <f t="shared" si="7"/>
        <v>0</v>
      </c>
      <c r="G30" s="473">
        <f t="shared" si="7"/>
        <v>10.727</v>
      </c>
      <c r="H30" s="473">
        <f t="shared" si="7"/>
        <v>10.727</v>
      </c>
      <c r="I30" s="473">
        <f t="shared" si="7"/>
        <v>10.727</v>
      </c>
      <c r="J30" s="394">
        <f t="shared" si="7"/>
        <v>0</v>
      </c>
    </row>
    <row r="31" spans="1:10" ht="15.75" hidden="1" thickBot="1">
      <c r="A31" s="527" t="s">
        <v>451</v>
      </c>
      <c r="B31" s="382" t="s">
        <v>452</v>
      </c>
      <c r="C31" s="484"/>
      <c r="D31" s="484"/>
      <c r="E31" s="484"/>
      <c r="F31" s="484"/>
      <c r="G31" s="484">
        <v>1.893</v>
      </c>
      <c r="H31" s="484">
        <v>1.893</v>
      </c>
      <c r="I31" s="480">
        <v>1.893</v>
      </c>
      <c r="J31" s="395"/>
    </row>
    <row r="32" spans="1:10" ht="15.75" thickBot="1">
      <c r="A32" s="452"/>
      <c r="B32" s="385" t="s">
        <v>633</v>
      </c>
      <c r="C32" s="481">
        <f aca="true" t="shared" si="8" ref="C32:J32">SUM(C31+C30)</f>
        <v>0</v>
      </c>
      <c r="D32" s="481">
        <f t="shared" si="8"/>
        <v>0</v>
      </c>
      <c r="E32" s="481">
        <f t="shared" si="8"/>
        <v>0</v>
      </c>
      <c r="F32" s="481">
        <f t="shared" si="8"/>
        <v>0</v>
      </c>
      <c r="G32" s="481">
        <f t="shared" si="8"/>
        <v>12.620000000000001</v>
      </c>
      <c r="H32" s="481">
        <f t="shared" si="8"/>
        <v>12.620000000000001</v>
      </c>
      <c r="I32" s="481">
        <f>SUM(I31+I30)</f>
        <v>12.620000000000001</v>
      </c>
      <c r="J32" s="385">
        <f t="shared" si="8"/>
        <v>0</v>
      </c>
    </row>
    <row r="33" spans="1:10" ht="15" hidden="1">
      <c r="A33" s="141" t="s">
        <v>453</v>
      </c>
      <c r="B33" s="387" t="s">
        <v>454</v>
      </c>
      <c r="C33" s="482">
        <v>4.268</v>
      </c>
      <c r="D33" s="482"/>
      <c r="E33" s="482">
        <v>1.452</v>
      </c>
      <c r="F33" s="482">
        <v>0.044</v>
      </c>
      <c r="G33" s="482">
        <v>22.374</v>
      </c>
      <c r="H33" s="482">
        <v>28.138</v>
      </c>
      <c r="I33" s="476">
        <v>28.138</v>
      </c>
      <c r="J33" s="396"/>
    </row>
    <row r="34" spans="1:10" ht="15" hidden="1">
      <c r="A34" s="148" t="s">
        <v>455</v>
      </c>
      <c r="B34" s="370" t="s">
        <v>456</v>
      </c>
      <c r="C34" s="463">
        <v>0</v>
      </c>
      <c r="D34" s="463"/>
      <c r="E34" s="463">
        <v>0</v>
      </c>
      <c r="F34" s="463">
        <v>0</v>
      </c>
      <c r="G34" s="463">
        <v>0</v>
      </c>
      <c r="H34" s="463">
        <v>0</v>
      </c>
      <c r="I34" s="469">
        <v>0</v>
      </c>
      <c r="J34" s="371"/>
    </row>
    <row r="35" spans="1:10" ht="15" hidden="1">
      <c r="A35" s="148" t="s">
        <v>457</v>
      </c>
      <c r="B35" s="370" t="s">
        <v>458</v>
      </c>
      <c r="C35" s="463">
        <v>7.802</v>
      </c>
      <c r="D35" s="463"/>
      <c r="E35" s="463">
        <v>2.653</v>
      </c>
      <c r="F35" s="463">
        <v>0.079</v>
      </c>
      <c r="G35" s="463">
        <v>27.791</v>
      </c>
      <c r="H35" s="463">
        <v>38.325</v>
      </c>
      <c r="I35" s="469">
        <v>38.325</v>
      </c>
      <c r="J35" s="371"/>
    </row>
    <row r="36" spans="1:10" ht="15" hidden="1">
      <c r="A36" s="148" t="s">
        <v>459</v>
      </c>
      <c r="B36" s="370" t="s">
        <v>460</v>
      </c>
      <c r="C36" s="463"/>
      <c r="D36" s="463"/>
      <c r="E36" s="463"/>
      <c r="F36" s="463"/>
      <c r="G36" s="463">
        <v>0</v>
      </c>
      <c r="H36" s="463">
        <v>0</v>
      </c>
      <c r="I36" s="469">
        <v>0</v>
      </c>
      <c r="J36" s="371"/>
    </row>
    <row r="37" spans="1:10" ht="15" hidden="1">
      <c r="A37" s="148" t="s">
        <v>461</v>
      </c>
      <c r="B37" s="370" t="s">
        <v>319</v>
      </c>
      <c r="C37" s="463">
        <v>1442.28</v>
      </c>
      <c r="D37" s="463">
        <v>1686.825</v>
      </c>
      <c r="E37" s="463">
        <v>618.885</v>
      </c>
      <c r="F37" s="463">
        <v>14.535</v>
      </c>
      <c r="G37" s="463">
        <v>1951.6</v>
      </c>
      <c r="H37" s="463">
        <v>5714.125</v>
      </c>
      <c r="I37" s="469">
        <v>5714.125</v>
      </c>
      <c r="J37" s="371">
        <v>4</v>
      </c>
    </row>
    <row r="38" spans="1:10" ht="15" hidden="1">
      <c r="A38" s="148" t="s">
        <v>320</v>
      </c>
      <c r="B38" s="370" t="s">
        <v>321</v>
      </c>
      <c r="C38" s="463">
        <v>0</v>
      </c>
      <c r="D38" s="463"/>
      <c r="E38" s="463"/>
      <c r="F38" s="463"/>
      <c r="G38" s="463"/>
      <c r="H38" s="463">
        <v>0</v>
      </c>
      <c r="I38" s="469">
        <v>0</v>
      </c>
      <c r="J38" s="371">
        <v>0.71</v>
      </c>
    </row>
    <row r="39" spans="1:10" ht="15" hidden="1">
      <c r="A39" s="148" t="s">
        <v>322</v>
      </c>
      <c r="B39" s="370" t="s">
        <v>323</v>
      </c>
      <c r="C39" s="463">
        <v>1392.215</v>
      </c>
      <c r="D39" s="463">
        <v>1000.28</v>
      </c>
      <c r="E39" s="463">
        <v>680.68</v>
      </c>
      <c r="F39" s="463">
        <v>15.668</v>
      </c>
      <c r="G39" s="463">
        <v>10948</v>
      </c>
      <c r="H39" s="463">
        <v>14036.843</v>
      </c>
      <c r="I39" s="469">
        <v>14036.843</v>
      </c>
      <c r="J39" s="371">
        <v>3.66</v>
      </c>
    </row>
    <row r="40" spans="1:10" ht="15" hidden="1">
      <c r="A40" s="148" t="s">
        <v>324</v>
      </c>
      <c r="B40" s="370" t="s">
        <v>325</v>
      </c>
      <c r="C40" s="463">
        <v>31.905</v>
      </c>
      <c r="D40" s="463">
        <v>29.73</v>
      </c>
      <c r="E40" s="463">
        <v>11.79</v>
      </c>
      <c r="F40" s="463">
        <v>0.62</v>
      </c>
      <c r="G40" s="463"/>
      <c r="H40" s="463">
        <v>74.045</v>
      </c>
      <c r="I40" s="469">
        <v>74.045</v>
      </c>
      <c r="J40" s="371">
        <v>0.65</v>
      </c>
    </row>
    <row r="41" spans="1:10" ht="15" hidden="1">
      <c r="A41" s="148" t="s">
        <v>326</v>
      </c>
      <c r="B41" s="370" t="s">
        <v>327</v>
      </c>
      <c r="C41" s="463"/>
      <c r="D41" s="463">
        <v>280</v>
      </c>
      <c r="E41" s="463">
        <v>43.452</v>
      </c>
      <c r="F41" s="463"/>
      <c r="G41" s="463">
        <v>697.707</v>
      </c>
      <c r="H41" s="463">
        <v>1021.159</v>
      </c>
      <c r="I41" s="469">
        <v>1021.159</v>
      </c>
      <c r="J41" s="371"/>
    </row>
    <row r="42" spans="1:10" ht="15" hidden="1">
      <c r="A42" s="148" t="s">
        <v>462</v>
      </c>
      <c r="B42" s="370" t="s">
        <v>463</v>
      </c>
      <c r="C42" s="463">
        <v>2387.65</v>
      </c>
      <c r="D42" s="463">
        <v>926.33</v>
      </c>
      <c r="E42" s="463">
        <v>909.026</v>
      </c>
      <c r="F42" s="463">
        <v>23.61</v>
      </c>
      <c r="G42" s="463">
        <v>2221.585</v>
      </c>
      <c r="H42" s="463">
        <v>6468.201</v>
      </c>
      <c r="I42" s="469">
        <v>6468.201</v>
      </c>
      <c r="J42" s="371">
        <v>6.12</v>
      </c>
    </row>
    <row r="43" spans="1:10" ht="15" hidden="1">
      <c r="A43" s="148" t="s">
        <v>464</v>
      </c>
      <c r="B43" s="370" t="s">
        <v>465</v>
      </c>
      <c r="C43" s="463">
        <v>71.55</v>
      </c>
      <c r="D43" s="463">
        <v>39.87</v>
      </c>
      <c r="E43" s="463">
        <v>28.635</v>
      </c>
      <c r="F43" s="463">
        <v>0.72</v>
      </c>
      <c r="G43" s="463">
        <v>21.7</v>
      </c>
      <c r="H43" s="463">
        <v>162.475</v>
      </c>
      <c r="I43" s="469">
        <v>162.475</v>
      </c>
      <c r="J43" s="371">
        <v>1.08</v>
      </c>
    </row>
    <row r="44" spans="1:10" ht="15" hidden="1">
      <c r="A44" s="148" t="s">
        <v>330</v>
      </c>
      <c r="B44" s="370" t="s">
        <v>331</v>
      </c>
      <c r="C44" s="463">
        <v>35.415</v>
      </c>
      <c r="D44" s="463"/>
      <c r="E44" s="463">
        <v>12.039</v>
      </c>
      <c r="F44" s="463">
        <v>0.354</v>
      </c>
      <c r="G44" s="463">
        <v>189.75</v>
      </c>
      <c r="H44" s="463">
        <v>237.558</v>
      </c>
      <c r="I44" s="469">
        <v>237.558</v>
      </c>
      <c r="J44" s="371"/>
    </row>
    <row r="45" spans="1:10" ht="15" hidden="1">
      <c r="A45" s="148" t="s">
        <v>334</v>
      </c>
      <c r="B45" s="370" t="s">
        <v>335</v>
      </c>
      <c r="C45" s="463">
        <v>4.53</v>
      </c>
      <c r="D45" s="463"/>
      <c r="E45" s="463">
        <v>1.541</v>
      </c>
      <c r="F45" s="463">
        <v>0.046</v>
      </c>
      <c r="G45" s="463">
        <v>31.32</v>
      </c>
      <c r="H45" s="463">
        <v>37.437</v>
      </c>
      <c r="I45" s="469">
        <v>37.437</v>
      </c>
      <c r="J45" s="371"/>
    </row>
    <row r="46" spans="1:10" ht="15" hidden="1">
      <c r="A46" s="148" t="s">
        <v>338</v>
      </c>
      <c r="B46" s="370" t="s">
        <v>339</v>
      </c>
      <c r="C46" s="463">
        <v>50.588</v>
      </c>
      <c r="D46" s="463"/>
      <c r="E46" s="463">
        <v>17.129</v>
      </c>
      <c r="F46" s="463">
        <v>0.886</v>
      </c>
      <c r="G46" s="463">
        <v>137.437</v>
      </c>
      <c r="H46" s="463">
        <v>206.04</v>
      </c>
      <c r="I46" s="469">
        <v>206.04</v>
      </c>
      <c r="J46" s="371"/>
    </row>
    <row r="47" spans="1:10" ht="15.75" hidden="1" thickBot="1">
      <c r="A47" s="372" t="s">
        <v>342</v>
      </c>
      <c r="B47" s="373" t="s">
        <v>343</v>
      </c>
      <c r="C47" s="470">
        <v>2.778</v>
      </c>
      <c r="D47" s="470"/>
      <c r="E47" s="470">
        <v>0.945</v>
      </c>
      <c r="F47" s="470">
        <v>0.029</v>
      </c>
      <c r="G47" s="470">
        <v>16.795</v>
      </c>
      <c r="H47" s="470">
        <v>20.547</v>
      </c>
      <c r="I47" s="471">
        <v>20.547</v>
      </c>
      <c r="J47" s="374"/>
    </row>
    <row r="48" spans="1:10" ht="15.75" hidden="1" thickBot="1">
      <c r="A48" s="397"/>
      <c r="B48" s="391" t="s">
        <v>361</v>
      </c>
      <c r="C48" s="472">
        <f>SUM(C33:C47)</f>
        <v>5430.981</v>
      </c>
      <c r="D48" s="472">
        <f aca="true" t="shared" si="9" ref="D48:J48">SUM(D33:D47)</f>
        <v>3963.035</v>
      </c>
      <c r="E48" s="472">
        <f t="shared" si="9"/>
        <v>2328.2270000000008</v>
      </c>
      <c r="F48" s="472">
        <f t="shared" si="9"/>
        <v>56.591</v>
      </c>
      <c r="G48" s="472">
        <f t="shared" si="9"/>
        <v>16266.059000000001</v>
      </c>
      <c r="H48" s="472">
        <f t="shared" si="9"/>
        <v>28044.893</v>
      </c>
      <c r="I48" s="473">
        <f t="shared" si="9"/>
        <v>28044.893</v>
      </c>
      <c r="J48" s="394">
        <f t="shared" si="9"/>
        <v>16.22</v>
      </c>
    </row>
    <row r="49" spans="1:10" ht="15" hidden="1">
      <c r="A49" s="377" t="s">
        <v>453</v>
      </c>
      <c r="B49" s="378" t="s">
        <v>454</v>
      </c>
      <c r="C49" s="475">
        <v>2.985</v>
      </c>
      <c r="D49" s="475"/>
      <c r="E49" s="475">
        <v>1.015</v>
      </c>
      <c r="F49" s="475">
        <v>0.03</v>
      </c>
      <c r="G49" s="475">
        <v>8.285</v>
      </c>
      <c r="H49" s="475">
        <v>12.315</v>
      </c>
      <c r="I49" s="476">
        <v>12.315</v>
      </c>
      <c r="J49" s="398"/>
    </row>
    <row r="50" spans="1:10" ht="15" hidden="1">
      <c r="A50" s="399" t="s">
        <v>466</v>
      </c>
      <c r="B50" s="400" t="s">
        <v>467</v>
      </c>
      <c r="C50" s="485">
        <v>1.281</v>
      </c>
      <c r="D50" s="485"/>
      <c r="E50" s="485">
        <v>0.436</v>
      </c>
      <c r="F50" s="485">
        <v>0.013</v>
      </c>
      <c r="G50" s="485">
        <v>5.411</v>
      </c>
      <c r="H50" s="485">
        <v>7.141</v>
      </c>
      <c r="I50" s="469">
        <v>7.141</v>
      </c>
      <c r="J50" s="390"/>
    </row>
    <row r="51" spans="1:10" ht="15" hidden="1">
      <c r="A51" s="399" t="s">
        <v>468</v>
      </c>
      <c r="B51" s="400" t="s">
        <v>469</v>
      </c>
      <c r="C51" s="485">
        <v>0</v>
      </c>
      <c r="D51" s="485"/>
      <c r="E51" s="485">
        <v>0</v>
      </c>
      <c r="F51" s="485">
        <v>0</v>
      </c>
      <c r="G51" s="485">
        <v>0</v>
      </c>
      <c r="H51" s="485">
        <v>0</v>
      </c>
      <c r="I51" s="469">
        <v>0</v>
      </c>
      <c r="J51" s="390"/>
    </row>
    <row r="52" spans="1:10" ht="15" hidden="1">
      <c r="A52" s="399" t="s">
        <v>457</v>
      </c>
      <c r="B52" s="400" t="s">
        <v>458</v>
      </c>
      <c r="C52" s="485">
        <v>5.718</v>
      </c>
      <c r="D52" s="485"/>
      <c r="E52" s="485">
        <v>1.945</v>
      </c>
      <c r="F52" s="485">
        <v>0.057</v>
      </c>
      <c r="G52" s="485">
        <v>7.349</v>
      </c>
      <c r="H52" s="485">
        <v>15.069</v>
      </c>
      <c r="I52" s="469">
        <v>15.069</v>
      </c>
      <c r="J52" s="390"/>
    </row>
    <row r="53" spans="1:10" ht="15" hidden="1">
      <c r="A53" s="399" t="s">
        <v>470</v>
      </c>
      <c r="B53" s="400" t="s">
        <v>471</v>
      </c>
      <c r="C53" s="485">
        <v>2.388</v>
      </c>
      <c r="D53" s="485"/>
      <c r="E53" s="485">
        <v>0.814</v>
      </c>
      <c r="F53" s="485">
        <v>0.026</v>
      </c>
      <c r="G53" s="485">
        <v>6.204</v>
      </c>
      <c r="H53" s="485">
        <v>9.432</v>
      </c>
      <c r="I53" s="469">
        <v>9.432</v>
      </c>
      <c r="J53" s="390"/>
    </row>
    <row r="54" spans="1:10" ht="15" hidden="1">
      <c r="A54" s="399" t="s">
        <v>459</v>
      </c>
      <c r="B54" s="400" t="s">
        <v>460</v>
      </c>
      <c r="C54" s="485">
        <v>0.25</v>
      </c>
      <c r="D54" s="485"/>
      <c r="E54" s="485">
        <v>0.085</v>
      </c>
      <c r="F54" s="485">
        <v>0.003</v>
      </c>
      <c r="G54" s="485">
        <v>0.385</v>
      </c>
      <c r="H54" s="485">
        <v>0.723</v>
      </c>
      <c r="I54" s="469">
        <v>0.723</v>
      </c>
      <c r="J54" s="390"/>
    </row>
    <row r="55" spans="1:10" ht="15" hidden="1">
      <c r="A55" s="399" t="s">
        <v>472</v>
      </c>
      <c r="B55" s="400" t="s">
        <v>473</v>
      </c>
      <c r="C55" s="485">
        <v>0.044</v>
      </c>
      <c r="D55" s="485"/>
      <c r="E55" s="485">
        <v>0.015</v>
      </c>
      <c r="F55" s="485">
        <v>0.001</v>
      </c>
      <c r="G55" s="485">
        <v>0.068</v>
      </c>
      <c r="H55" s="485">
        <v>0.128</v>
      </c>
      <c r="I55" s="469">
        <v>0.128</v>
      </c>
      <c r="J55" s="390"/>
    </row>
    <row r="56" spans="1:10" ht="15" hidden="1">
      <c r="A56" s="399" t="s">
        <v>320</v>
      </c>
      <c r="B56" s="400" t="s">
        <v>321</v>
      </c>
      <c r="C56" s="485">
        <v>254.52</v>
      </c>
      <c r="D56" s="485">
        <v>297.675</v>
      </c>
      <c r="E56" s="485">
        <v>109.215</v>
      </c>
      <c r="F56" s="485">
        <v>2.565</v>
      </c>
      <c r="G56" s="485">
        <v>344.4</v>
      </c>
      <c r="H56" s="485">
        <v>1008.375</v>
      </c>
      <c r="I56" s="469">
        <v>1008.375</v>
      </c>
      <c r="J56" s="390"/>
    </row>
    <row r="57" spans="1:10" ht="15" hidden="1">
      <c r="A57" s="399" t="s">
        <v>324</v>
      </c>
      <c r="B57" s="400" t="s">
        <v>325</v>
      </c>
      <c r="C57" s="485">
        <v>213.78</v>
      </c>
      <c r="D57" s="485">
        <v>146.79</v>
      </c>
      <c r="E57" s="485">
        <v>108.33</v>
      </c>
      <c r="F57" s="485">
        <v>2.145</v>
      </c>
      <c r="G57" s="485">
        <v>1932</v>
      </c>
      <c r="H57" s="485">
        <v>2403.045</v>
      </c>
      <c r="I57" s="469">
        <v>2403.045</v>
      </c>
      <c r="J57" s="390"/>
    </row>
    <row r="58" spans="1:10" ht="15" hidden="1">
      <c r="A58" s="399" t="s">
        <v>328</v>
      </c>
      <c r="B58" s="400" t="s">
        <v>329</v>
      </c>
      <c r="C58" s="485"/>
      <c r="D58" s="485">
        <v>49.208</v>
      </c>
      <c r="E58" s="485">
        <v>7.668</v>
      </c>
      <c r="F58" s="485"/>
      <c r="G58" s="485">
        <v>123.125</v>
      </c>
      <c r="H58" s="485">
        <v>180.001</v>
      </c>
      <c r="I58" s="469">
        <v>180.001</v>
      </c>
      <c r="J58" s="390"/>
    </row>
    <row r="59" spans="1:10" ht="15" hidden="1">
      <c r="A59" s="399" t="s">
        <v>464</v>
      </c>
      <c r="B59" s="400" t="s">
        <v>465</v>
      </c>
      <c r="C59" s="485">
        <v>349.8</v>
      </c>
      <c r="D59" s="485">
        <v>123.6</v>
      </c>
      <c r="E59" s="485">
        <v>131.784</v>
      </c>
      <c r="F59" s="485">
        <v>3.45</v>
      </c>
      <c r="G59" s="485">
        <v>370.35</v>
      </c>
      <c r="H59" s="485">
        <v>978.984</v>
      </c>
      <c r="I59" s="469">
        <v>978.984</v>
      </c>
      <c r="J59" s="390"/>
    </row>
    <row r="60" spans="1:10" ht="15" hidden="1">
      <c r="A60" s="399" t="s">
        <v>330</v>
      </c>
      <c r="B60" s="400" t="s">
        <v>331</v>
      </c>
      <c r="C60" s="485">
        <v>1.875</v>
      </c>
      <c r="D60" s="485"/>
      <c r="E60" s="485">
        <v>0.637</v>
      </c>
      <c r="F60" s="485">
        <v>0.018</v>
      </c>
      <c r="G60" s="485">
        <v>2.895</v>
      </c>
      <c r="H60" s="485">
        <v>5.425</v>
      </c>
      <c r="I60" s="469">
        <v>5.425</v>
      </c>
      <c r="J60" s="390"/>
    </row>
    <row r="61" spans="1:10" ht="15" hidden="1">
      <c r="A61" s="399" t="s">
        <v>332</v>
      </c>
      <c r="B61" s="400" t="s">
        <v>333</v>
      </c>
      <c r="C61" s="485">
        <v>6.585</v>
      </c>
      <c r="D61" s="485"/>
      <c r="E61" s="485">
        <v>2.241</v>
      </c>
      <c r="F61" s="485">
        <v>0.069</v>
      </c>
      <c r="G61" s="485">
        <v>34</v>
      </c>
      <c r="H61" s="485">
        <v>42.895</v>
      </c>
      <c r="I61" s="469">
        <v>42.895</v>
      </c>
      <c r="J61" s="390"/>
    </row>
    <row r="62" spans="1:10" ht="15" hidden="1">
      <c r="A62" s="399" t="s">
        <v>334</v>
      </c>
      <c r="B62" s="400" t="s">
        <v>335</v>
      </c>
      <c r="C62" s="485">
        <v>5.437</v>
      </c>
      <c r="D62" s="485"/>
      <c r="E62" s="485">
        <v>1.849</v>
      </c>
      <c r="F62" s="485">
        <v>0.055</v>
      </c>
      <c r="G62" s="485">
        <v>11.977</v>
      </c>
      <c r="H62" s="485">
        <v>19.318</v>
      </c>
      <c r="I62" s="469">
        <v>19.318</v>
      </c>
      <c r="J62" s="390"/>
    </row>
    <row r="63" spans="1:10" ht="15" hidden="1">
      <c r="A63" s="399" t="s">
        <v>336</v>
      </c>
      <c r="B63" s="400" t="s">
        <v>337</v>
      </c>
      <c r="C63" s="485">
        <v>1.76</v>
      </c>
      <c r="D63" s="485"/>
      <c r="E63" s="485">
        <v>0.599</v>
      </c>
      <c r="F63" s="485">
        <v>0.018</v>
      </c>
      <c r="G63" s="485">
        <v>7.641</v>
      </c>
      <c r="H63" s="485">
        <v>10.018</v>
      </c>
      <c r="I63" s="469">
        <v>10.018</v>
      </c>
      <c r="J63" s="390"/>
    </row>
    <row r="64" spans="1:10" ht="15" hidden="1">
      <c r="A64" s="399" t="s">
        <v>474</v>
      </c>
      <c r="B64" s="400" t="s">
        <v>339</v>
      </c>
      <c r="C64" s="485">
        <v>2.079</v>
      </c>
      <c r="D64" s="485"/>
      <c r="E64" s="485">
        <v>0.709</v>
      </c>
      <c r="F64" s="485">
        <v>0.035</v>
      </c>
      <c r="G64" s="485">
        <v>6.226</v>
      </c>
      <c r="H64" s="485">
        <v>9.049</v>
      </c>
      <c r="I64" s="469">
        <v>9.049</v>
      </c>
      <c r="J64" s="390"/>
    </row>
    <row r="65" spans="1:10" ht="15" hidden="1">
      <c r="A65" s="399" t="s">
        <v>340</v>
      </c>
      <c r="B65" s="400" t="s">
        <v>341</v>
      </c>
      <c r="C65" s="485">
        <v>9.26</v>
      </c>
      <c r="D65" s="485"/>
      <c r="E65" s="485">
        <v>3.135</v>
      </c>
      <c r="F65" s="485">
        <v>0.161</v>
      </c>
      <c r="G65" s="485">
        <v>25.388</v>
      </c>
      <c r="H65" s="485">
        <v>37.944</v>
      </c>
      <c r="I65" s="469">
        <v>37.944</v>
      </c>
      <c r="J65" s="390"/>
    </row>
    <row r="66" spans="1:10" ht="15" hidden="1">
      <c r="A66" s="399" t="s">
        <v>475</v>
      </c>
      <c r="B66" s="400" t="s">
        <v>343</v>
      </c>
      <c r="C66" s="485">
        <v>6.982</v>
      </c>
      <c r="D66" s="485"/>
      <c r="E66" s="485">
        <v>2.374</v>
      </c>
      <c r="F66" s="485">
        <v>0.07</v>
      </c>
      <c r="G66" s="485">
        <v>13.673</v>
      </c>
      <c r="H66" s="485">
        <v>23.099</v>
      </c>
      <c r="I66" s="469">
        <v>23.099</v>
      </c>
      <c r="J66" s="390"/>
    </row>
    <row r="67" spans="1:10" ht="15" hidden="1">
      <c r="A67" s="399" t="s">
        <v>476</v>
      </c>
      <c r="B67" s="400" t="s">
        <v>344</v>
      </c>
      <c r="C67" s="485">
        <v>1.723</v>
      </c>
      <c r="D67" s="485"/>
      <c r="E67" s="485">
        <v>0.586</v>
      </c>
      <c r="F67" s="485">
        <v>0.018</v>
      </c>
      <c r="G67" s="485">
        <v>5.377</v>
      </c>
      <c r="H67" s="485">
        <v>7.704</v>
      </c>
      <c r="I67" s="469">
        <v>7.704</v>
      </c>
      <c r="J67" s="390"/>
    </row>
    <row r="68" spans="1:10" ht="15" hidden="1">
      <c r="A68" s="377" t="s">
        <v>345</v>
      </c>
      <c r="B68" s="378" t="s">
        <v>346</v>
      </c>
      <c r="C68" s="475"/>
      <c r="D68" s="475">
        <v>279.65</v>
      </c>
      <c r="E68" s="475">
        <v>43.52</v>
      </c>
      <c r="F68" s="475"/>
      <c r="G68" s="475">
        <v>631.125</v>
      </c>
      <c r="H68" s="475">
        <v>954.295</v>
      </c>
      <c r="I68" s="476">
        <v>954.295</v>
      </c>
      <c r="J68" s="390"/>
    </row>
    <row r="69" spans="1:10" ht="15.75" hidden="1" thickBot="1">
      <c r="A69" s="379" t="s">
        <v>347</v>
      </c>
      <c r="B69" s="380" t="s">
        <v>348</v>
      </c>
      <c r="C69" s="478"/>
      <c r="D69" s="478">
        <v>49.35</v>
      </c>
      <c r="E69" s="478">
        <v>7.68</v>
      </c>
      <c r="F69" s="478"/>
      <c r="G69" s="478">
        <v>111.375</v>
      </c>
      <c r="H69" s="478">
        <v>168.405</v>
      </c>
      <c r="I69" s="471">
        <v>168.405</v>
      </c>
      <c r="J69" s="390"/>
    </row>
    <row r="70" spans="1:10" ht="15.75" hidden="1" thickBot="1">
      <c r="A70" s="392"/>
      <c r="B70" s="393" t="s">
        <v>362</v>
      </c>
      <c r="C70" s="483">
        <f>SUM(C49:C69)</f>
        <v>866.467</v>
      </c>
      <c r="D70" s="483">
        <f aca="true" t="shared" si="10" ref="D70:J70">SUM(D49:D69)</f>
        <v>946.273</v>
      </c>
      <c r="E70" s="483">
        <f t="shared" si="10"/>
        <v>424.637</v>
      </c>
      <c r="F70" s="483">
        <f t="shared" si="10"/>
        <v>8.734000000000002</v>
      </c>
      <c r="G70" s="483">
        <f t="shared" si="10"/>
        <v>3647.2539999999995</v>
      </c>
      <c r="H70" s="483">
        <f t="shared" si="10"/>
        <v>5893.365000000002</v>
      </c>
      <c r="I70" s="473">
        <f t="shared" si="10"/>
        <v>5893.365000000002</v>
      </c>
      <c r="J70" s="401">
        <f t="shared" si="10"/>
        <v>0</v>
      </c>
    </row>
    <row r="71" spans="1:10" ht="15.75" thickBot="1">
      <c r="A71" s="384"/>
      <c r="B71" s="385" t="s">
        <v>634</v>
      </c>
      <c r="C71" s="481">
        <f>SUM(C70,C48)</f>
        <v>6297.447999999999</v>
      </c>
      <c r="D71" s="481">
        <f aca="true" t="shared" si="11" ref="D71:J71">SUM(D70,D48)</f>
        <v>4909.308</v>
      </c>
      <c r="E71" s="481">
        <f t="shared" si="11"/>
        <v>2752.864000000001</v>
      </c>
      <c r="F71" s="481">
        <f t="shared" si="11"/>
        <v>65.325</v>
      </c>
      <c r="G71" s="481">
        <f t="shared" si="11"/>
        <v>19913.313000000002</v>
      </c>
      <c r="H71" s="481">
        <f t="shared" si="11"/>
        <v>33938.258</v>
      </c>
      <c r="I71" s="481">
        <f t="shared" si="11"/>
        <v>33938.258</v>
      </c>
      <c r="J71" s="386">
        <f t="shared" si="11"/>
        <v>16.22</v>
      </c>
    </row>
    <row r="72" spans="1:10" ht="15" hidden="1">
      <c r="A72" s="402" t="s">
        <v>477</v>
      </c>
      <c r="B72" s="403" t="s">
        <v>478</v>
      </c>
      <c r="C72" s="476"/>
      <c r="D72" s="476"/>
      <c r="E72" s="476"/>
      <c r="F72" s="476"/>
      <c r="G72" s="476">
        <v>6.46</v>
      </c>
      <c r="H72" s="476">
        <v>6.46</v>
      </c>
      <c r="I72" s="476">
        <v>6.46</v>
      </c>
      <c r="J72" s="396"/>
    </row>
    <row r="73" spans="1:10" ht="15" hidden="1">
      <c r="A73" s="148" t="s">
        <v>479</v>
      </c>
      <c r="B73" s="370" t="s">
        <v>480</v>
      </c>
      <c r="C73" s="463">
        <v>1546.876</v>
      </c>
      <c r="D73" s="463">
        <v>1020</v>
      </c>
      <c r="E73" s="463">
        <v>525.938</v>
      </c>
      <c r="F73" s="463">
        <v>30.938</v>
      </c>
      <c r="G73" s="463">
        <v>9350</v>
      </c>
      <c r="H73" s="463">
        <v>12473.752</v>
      </c>
      <c r="I73" s="469">
        <v>12473.752</v>
      </c>
      <c r="J73" s="371">
        <v>0.91</v>
      </c>
    </row>
    <row r="74" spans="1:10" ht="15.75" hidden="1" thickBot="1">
      <c r="A74" s="372" t="s">
        <v>481</v>
      </c>
      <c r="B74" s="373" t="s">
        <v>482</v>
      </c>
      <c r="C74" s="470">
        <v>272.978</v>
      </c>
      <c r="D74" s="470">
        <v>180</v>
      </c>
      <c r="E74" s="470">
        <v>92.813</v>
      </c>
      <c r="F74" s="470">
        <v>5.46</v>
      </c>
      <c r="G74" s="470">
        <v>1650</v>
      </c>
      <c r="H74" s="470">
        <v>2201.251</v>
      </c>
      <c r="I74" s="471">
        <v>2201.251</v>
      </c>
      <c r="J74" s="374">
        <v>0.17</v>
      </c>
    </row>
    <row r="75" spans="1:10" ht="15.75" hidden="1" thickBot="1">
      <c r="A75" s="404"/>
      <c r="B75" s="376" t="s">
        <v>361</v>
      </c>
      <c r="C75" s="473">
        <f aca="true" t="shared" si="12" ref="C75:J75">SUM(C72:C74)</f>
        <v>1819.854</v>
      </c>
      <c r="D75" s="473">
        <f t="shared" si="12"/>
        <v>1200</v>
      </c>
      <c r="E75" s="473">
        <f t="shared" si="12"/>
        <v>618.751</v>
      </c>
      <c r="F75" s="473">
        <f t="shared" si="12"/>
        <v>36.397999999999996</v>
      </c>
      <c r="G75" s="473">
        <f t="shared" si="12"/>
        <v>11006.46</v>
      </c>
      <c r="H75" s="473">
        <f t="shared" si="12"/>
        <v>14681.463</v>
      </c>
      <c r="I75" s="473">
        <f t="shared" si="12"/>
        <v>14681.463</v>
      </c>
      <c r="J75" s="376">
        <f t="shared" si="12"/>
        <v>1.08</v>
      </c>
    </row>
    <row r="76" spans="1:10" ht="15.75" hidden="1" thickBot="1">
      <c r="A76" s="381" t="s">
        <v>647</v>
      </c>
      <c r="B76" s="524" t="s">
        <v>646</v>
      </c>
      <c r="C76" s="525"/>
      <c r="D76" s="479"/>
      <c r="E76" s="479"/>
      <c r="F76" s="479"/>
      <c r="G76" s="479">
        <v>1.14</v>
      </c>
      <c r="H76" s="479">
        <v>1.14</v>
      </c>
      <c r="I76" s="480">
        <v>1.14</v>
      </c>
      <c r="J76" s="395"/>
    </row>
    <row r="77" spans="1:10" ht="15.75" thickBot="1">
      <c r="A77" s="452"/>
      <c r="B77" s="385" t="s">
        <v>635</v>
      </c>
      <c r="C77" s="481">
        <f aca="true" t="shared" si="13" ref="C77:J77">SUM(C76+C75)</f>
        <v>1819.854</v>
      </c>
      <c r="D77" s="481">
        <f t="shared" si="13"/>
        <v>1200</v>
      </c>
      <c r="E77" s="481">
        <f t="shared" si="13"/>
        <v>618.751</v>
      </c>
      <c r="F77" s="481">
        <f t="shared" si="13"/>
        <v>36.397999999999996</v>
      </c>
      <c r="G77" s="481">
        <f t="shared" si="13"/>
        <v>11007.599999999999</v>
      </c>
      <c r="H77" s="481">
        <f t="shared" si="13"/>
        <v>14682.603</v>
      </c>
      <c r="I77" s="481">
        <f t="shared" si="13"/>
        <v>14682.603</v>
      </c>
      <c r="J77" s="385">
        <f t="shared" si="13"/>
        <v>1.08</v>
      </c>
    </row>
    <row r="78" spans="1:10" ht="15" hidden="1">
      <c r="A78" s="141" t="s">
        <v>483</v>
      </c>
      <c r="B78" s="387" t="s">
        <v>484</v>
      </c>
      <c r="C78" s="482">
        <v>681.46</v>
      </c>
      <c r="D78" s="482">
        <v>2335.82</v>
      </c>
      <c r="E78" s="482">
        <v>826.98</v>
      </c>
      <c r="F78" s="482">
        <v>7.08</v>
      </c>
      <c r="G78" s="482">
        <v>362.457</v>
      </c>
      <c r="H78" s="482">
        <v>4213.797</v>
      </c>
      <c r="I78" s="476">
        <v>4213.797</v>
      </c>
      <c r="J78" s="388">
        <v>1.7</v>
      </c>
    </row>
    <row r="79" spans="1:10" ht="15" hidden="1">
      <c r="A79" s="148" t="s">
        <v>485</v>
      </c>
      <c r="B79" s="370" t="s">
        <v>486</v>
      </c>
      <c r="C79" s="463">
        <v>120.26</v>
      </c>
      <c r="D79" s="463">
        <v>412.21</v>
      </c>
      <c r="E79" s="463">
        <v>145.94</v>
      </c>
      <c r="F79" s="463">
        <v>1.25</v>
      </c>
      <c r="G79" s="463">
        <v>63.965</v>
      </c>
      <c r="H79" s="463">
        <v>743.625</v>
      </c>
      <c r="I79" s="469">
        <v>743.625</v>
      </c>
      <c r="J79" s="389">
        <v>0.3</v>
      </c>
    </row>
    <row r="80" spans="1:10" ht="15" hidden="1">
      <c r="A80" s="148" t="s">
        <v>426</v>
      </c>
      <c r="B80" s="370" t="s">
        <v>427</v>
      </c>
      <c r="C80" s="463">
        <v>510</v>
      </c>
      <c r="D80" s="463">
        <v>11607.3</v>
      </c>
      <c r="E80" s="463">
        <v>2648.6</v>
      </c>
      <c r="F80" s="463">
        <v>1.7</v>
      </c>
      <c r="G80" s="463"/>
      <c r="H80" s="463">
        <v>14767.6</v>
      </c>
      <c r="I80" s="469">
        <v>14767.6</v>
      </c>
      <c r="J80" s="389"/>
    </row>
    <row r="81" spans="1:10" ht="15" hidden="1">
      <c r="A81" s="148" t="s">
        <v>428</v>
      </c>
      <c r="B81" s="370" t="s">
        <v>429</v>
      </c>
      <c r="C81" s="463">
        <v>90</v>
      </c>
      <c r="D81" s="463">
        <v>2048.35</v>
      </c>
      <c r="E81" s="463">
        <v>467.4</v>
      </c>
      <c r="F81" s="463">
        <v>0.3</v>
      </c>
      <c r="G81" s="463"/>
      <c r="H81" s="463">
        <v>2606.05</v>
      </c>
      <c r="I81" s="469">
        <v>2606.05</v>
      </c>
      <c r="J81" s="389"/>
    </row>
    <row r="82" spans="1:10" ht="15" hidden="1">
      <c r="A82" s="148" t="s">
        <v>430</v>
      </c>
      <c r="B82" s="370" t="s">
        <v>431</v>
      </c>
      <c r="C82" s="463"/>
      <c r="D82" s="463">
        <v>2805</v>
      </c>
      <c r="E82" s="463"/>
      <c r="F82" s="463"/>
      <c r="G82" s="463"/>
      <c r="H82" s="463">
        <v>2805</v>
      </c>
      <c r="I82" s="469">
        <v>2805</v>
      </c>
      <c r="J82" s="389"/>
    </row>
    <row r="83" spans="1:10" ht="15" hidden="1">
      <c r="A83" s="148" t="s">
        <v>434</v>
      </c>
      <c r="B83" s="370" t="s">
        <v>433</v>
      </c>
      <c r="C83" s="463"/>
      <c r="D83" s="463">
        <v>495</v>
      </c>
      <c r="E83" s="463"/>
      <c r="F83" s="463"/>
      <c r="G83" s="463"/>
      <c r="H83" s="463">
        <v>495</v>
      </c>
      <c r="I83" s="469">
        <v>495</v>
      </c>
      <c r="J83" s="389"/>
    </row>
    <row r="84" spans="1:10" ht="15" hidden="1">
      <c r="A84" s="148" t="s">
        <v>487</v>
      </c>
      <c r="B84" s="370" t="s">
        <v>488</v>
      </c>
      <c r="C84" s="463">
        <v>3539.655</v>
      </c>
      <c r="D84" s="463">
        <v>7055</v>
      </c>
      <c r="E84" s="463">
        <v>2477.58</v>
      </c>
      <c r="F84" s="463">
        <v>71.825</v>
      </c>
      <c r="G84" s="463">
        <v>6993.63</v>
      </c>
      <c r="H84" s="463">
        <v>20137.69</v>
      </c>
      <c r="I84" s="469">
        <v>20137.69</v>
      </c>
      <c r="J84" s="389">
        <v>8.52</v>
      </c>
    </row>
    <row r="85" spans="1:10" ht="15" hidden="1">
      <c r="A85" s="148" t="s">
        <v>489</v>
      </c>
      <c r="B85" s="370" t="s">
        <v>490</v>
      </c>
      <c r="C85" s="463">
        <v>0</v>
      </c>
      <c r="D85" s="463">
        <v>169.8</v>
      </c>
      <c r="E85" s="463"/>
      <c r="F85" s="463"/>
      <c r="G85" s="463"/>
      <c r="H85" s="463">
        <v>169.8</v>
      </c>
      <c r="I85" s="469">
        <v>169.8</v>
      </c>
      <c r="J85" s="389">
        <v>1.51</v>
      </c>
    </row>
    <row r="86" spans="1:10" ht="15" hidden="1">
      <c r="A86" s="148" t="s">
        <v>491</v>
      </c>
      <c r="B86" s="370" t="s">
        <v>492</v>
      </c>
      <c r="C86" s="463">
        <v>6630.895</v>
      </c>
      <c r="D86" s="463">
        <v>6851.85</v>
      </c>
      <c r="E86" s="463">
        <v>4170.18</v>
      </c>
      <c r="F86" s="463">
        <v>130.135</v>
      </c>
      <c r="G86" s="463">
        <v>6396.25</v>
      </c>
      <c r="H86" s="463">
        <v>24179.31</v>
      </c>
      <c r="I86" s="469">
        <v>24179.31</v>
      </c>
      <c r="J86" s="389">
        <v>14.2</v>
      </c>
    </row>
    <row r="87" spans="1:10" ht="15" hidden="1">
      <c r="A87" s="148" t="s">
        <v>493</v>
      </c>
      <c r="B87" s="370" t="s">
        <v>494</v>
      </c>
      <c r="C87" s="463">
        <v>0</v>
      </c>
      <c r="D87" s="463"/>
      <c r="E87" s="463"/>
      <c r="F87" s="463"/>
      <c r="G87" s="463"/>
      <c r="H87" s="463">
        <v>0</v>
      </c>
      <c r="I87" s="469">
        <v>0</v>
      </c>
      <c r="J87" s="389">
        <v>0.29</v>
      </c>
    </row>
    <row r="88" spans="1:10" ht="15" hidden="1">
      <c r="A88" s="148" t="s">
        <v>495</v>
      </c>
      <c r="B88" s="370" t="s">
        <v>496</v>
      </c>
      <c r="C88" s="463">
        <v>2801.685</v>
      </c>
      <c r="D88" s="463">
        <v>3570.85</v>
      </c>
      <c r="E88" s="463">
        <v>1032.75</v>
      </c>
      <c r="F88" s="463">
        <v>55.505</v>
      </c>
      <c r="G88" s="463">
        <v>12404.39</v>
      </c>
      <c r="H88" s="463">
        <v>19865.18</v>
      </c>
      <c r="I88" s="469">
        <v>19865.18</v>
      </c>
      <c r="J88" s="389">
        <v>7.48</v>
      </c>
    </row>
    <row r="89" spans="1:10" ht="15" hidden="1">
      <c r="A89" s="148" t="s">
        <v>497</v>
      </c>
      <c r="B89" s="370" t="s">
        <v>498</v>
      </c>
      <c r="C89" s="463">
        <v>0</v>
      </c>
      <c r="D89" s="463"/>
      <c r="E89" s="463"/>
      <c r="F89" s="463"/>
      <c r="G89" s="463"/>
      <c r="H89" s="463">
        <v>0</v>
      </c>
      <c r="I89" s="469">
        <v>0</v>
      </c>
      <c r="J89" s="389">
        <v>1.32</v>
      </c>
    </row>
    <row r="90" spans="1:10" ht="15" hidden="1">
      <c r="A90" s="148" t="s">
        <v>499</v>
      </c>
      <c r="B90" s="370" t="s">
        <v>500</v>
      </c>
      <c r="C90" s="463">
        <v>2189.005</v>
      </c>
      <c r="D90" s="463">
        <v>15613.395</v>
      </c>
      <c r="E90" s="463">
        <v>3139.49</v>
      </c>
      <c r="F90" s="463">
        <v>36.508</v>
      </c>
      <c r="G90" s="463">
        <v>8827.803</v>
      </c>
      <c r="H90" s="463">
        <v>29806.201</v>
      </c>
      <c r="I90" s="469">
        <v>29806.201</v>
      </c>
      <c r="J90" s="389">
        <v>3.35</v>
      </c>
    </row>
    <row r="91" spans="1:10" ht="15" hidden="1">
      <c r="A91" s="148" t="s">
        <v>501</v>
      </c>
      <c r="B91" s="370" t="s">
        <v>502</v>
      </c>
      <c r="C91" s="463">
        <v>129.75</v>
      </c>
      <c r="D91" s="463">
        <v>1125</v>
      </c>
      <c r="E91" s="463">
        <v>246.965</v>
      </c>
      <c r="F91" s="463">
        <v>1.298</v>
      </c>
      <c r="G91" s="463">
        <v>172.508</v>
      </c>
      <c r="H91" s="463">
        <v>1675.521</v>
      </c>
      <c r="I91" s="469">
        <v>1675.521</v>
      </c>
      <c r="J91" s="389">
        <v>0.59</v>
      </c>
    </row>
    <row r="92" spans="1:10" ht="15" hidden="1">
      <c r="A92" s="148" t="s">
        <v>503</v>
      </c>
      <c r="B92" s="370" t="s">
        <v>504</v>
      </c>
      <c r="C92" s="463">
        <v>16581.205</v>
      </c>
      <c r="D92" s="463">
        <v>36434.74</v>
      </c>
      <c r="E92" s="463">
        <v>7381.91</v>
      </c>
      <c r="F92" s="463">
        <v>297.67</v>
      </c>
      <c r="G92" s="463">
        <v>39825.489</v>
      </c>
      <c r="H92" s="463">
        <v>100521.014</v>
      </c>
      <c r="I92" s="469">
        <v>100521.014</v>
      </c>
      <c r="J92" s="389">
        <v>47.07</v>
      </c>
    </row>
    <row r="93" spans="1:10" ht="15" hidden="1">
      <c r="A93" s="148" t="s">
        <v>505</v>
      </c>
      <c r="B93" s="370" t="s">
        <v>506</v>
      </c>
      <c r="C93" s="463">
        <v>0</v>
      </c>
      <c r="D93" s="463"/>
      <c r="E93" s="463"/>
      <c r="F93" s="463"/>
      <c r="G93" s="463">
        <v>742.023</v>
      </c>
      <c r="H93" s="463">
        <v>742.023</v>
      </c>
      <c r="I93" s="469">
        <v>742.023</v>
      </c>
      <c r="J93" s="389">
        <v>8.31</v>
      </c>
    </row>
    <row r="94" spans="1:10" ht="15" hidden="1">
      <c r="A94" s="148" t="s">
        <v>507</v>
      </c>
      <c r="B94" s="370" t="s">
        <v>508</v>
      </c>
      <c r="C94" s="463">
        <v>1772.505</v>
      </c>
      <c r="D94" s="463">
        <v>2044.045</v>
      </c>
      <c r="E94" s="463">
        <v>1147.11</v>
      </c>
      <c r="F94" s="463">
        <v>37.4</v>
      </c>
      <c r="G94" s="463">
        <v>13136.815</v>
      </c>
      <c r="H94" s="463">
        <v>18137.875</v>
      </c>
      <c r="I94" s="469">
        <v>18137.875</v>
      </c>
      <c r="J94" s="389">
        <v>6.68</v>
      </c>
    </row>
    <row r="95" spans="1:10" ht="15" hidden="1">
      <c r="A95" s="148" t="s">
        <v>509</v>
      </c>
      <c r="B95" s="370" t="s">
        <v>510</v>
      </c>
      <c r="C95" s="463">
        <v>0</v>
      </c>
      <c r="D95" s="463">
        <v>27.055</v>
      </c>
      <c r="E95" s="463">
        <v>39.922</v>
      </c>
      <c r="F95" s="463"/>
      <c r="G95" s="463">
        <v>315.18</v>
      </c>
      <c r="H95" s="463">
        <v>382.157</v>
      </c>
      <c r="I95" s="469">
        <v>382.157</v>
      </c>
      <c r="J95" s="389">
        <v>1.18</v>
      </c>
    </row>
    <row r="96" spans="1:10" ht="15" hidden="1">
      <c r="A96" s="148" t="s">
        <v>511</v>
      </c>
      <c r="B96" s="370" t="s">
        <v>512</v>
      </c>
      <c r="C96" s="463">
        <v>11560</v>
      </c>
      <c r="D96" s="463">
        <v>31723.02</v>
      </c>
      <c r="E96" s="463">
        <v>6336.158</v>
      </c>
      <c r="F96" s="463">
        <v>192.1</v>
      </c>
      <c r="G96" s="463">
        <v>35114.197</v>
      </c>
      <c r="H96" s="463">
        <v>84925.475</v>
      </c>
      <c r="I96" s="469">
        <v>84925.475</v>
      </c>
      <c r="J96" s="389">
        <v>28.05</v>
      </c>
    </row>
    <row r="97" spans="1:10" ht="15" hidden="1">
      <c r="A97" s="148" t="s">
        <v>513</v>
      </c>
      <c r="B97" s="370" t="s">
        <v>514</v>
      </c>
      <c r="C97" s="463">
        <v>345.48</v>
      </c>
      <c r="D97" s="463"/>
      <c r="E97" s="463">
        <v>82.592</v>
      </c>
      <c r="F97" s="463"/>
      <c r="G97" s="463"/>
      <c r="H97" s="463">
        <v>428.072</v>
      </c>
      <c r="I97" s="469">
        <v>428.072</v>
      </c>
      <c r="J97" s="389">
        <v>4.95</v>
      </c>
    </row>
    <row r="98" spans="1:10" ht="15" hidden="1">
      <c r="A98" s="148" t="s">
        <v>515</v>
      </c>
      <c r="B98" s="370" t="s">
        <v>516</v>
      </c>
      <c r="C98" s="463">
        <v>3419.125</v>
      </c>
      <c r="D98" s="463">
        <v>2357.985</v>
      </c>
      <c r="E98" s="463">
        <v>1790.44</v>
      </c>
      <c r="F98" s="463">
        <v>74.375</v>
      </c>
      <c r="G98" s="463">
        <v>9105.03</v>
      </c>
      <c r="H98" s="463">
        <v>16746.955</v>
      </c>
      <c r="I98" s="469">
        <v>16746.955</v>
      </c>
      <c r="J98" s="389">
        <v>9.37</v>
      </c>
    </row>
    <row r="99" spans="1:10" ht="15" hidden="1">
      <c r="A99" s="148" t="s">
        <v>517</v>
      </c>
      <c r="B99" s="370" t="s">
        <v>518</v>
      </c>
      <c r="C99" s="463">
        <v>0</v>
      </c>
      <c r="D99" s="463"/>
      <c r="E99" s="463"/>
      <c r="F99" s="463"/>
      <c r="G99" s="463"/>
      <c r="H99" s="463">
        <v>0</v>
      </c>
      <c r="I99" s="469">
        <v>0</v>
      </c>
      <c r="J99" s="389">
        <v>1.66</v>
      </c>
    </row>
    <row r="100" spans="1:10" ht="15" hidden="1">
      <c r="A100" s="148" t="s">
        <v>435</v>
      </c>
      <c r="B100" s="370" t="s">
        <v>436</v>
      </c>
      <c r="C100" s="463"/>
      <c r="D100" s="463">
        <v>124.186</v>
      </c>
      <c r="E100" s="463"/>
      <c r="F100" s="463"/>
      <c r="G100" s="463"/>
      <c r="H100" s="463">
        <v>124.186</v>
      </c>
      <c r="I100" s="469">
        <v>124.186</v>
      </c>
      <c r="J100" s="389"/>
    </row>
    <row r="101" spans="1:10" ht="15" hidden="1">
      <c r="A101" s="148" t="s">
        <v>437</v>
      </c>
      <c r="B101" s="370" t="s">
        <v>438</v>
      </c>
      <c r="C101" s="463"/>
      <c r="D101" s="463">
        <v>21.916</v>
      </c>
      <c r="E101" s="463"/>
      <c r="F101" s="463"/>
      <c r="G101" s="463"/>
      <c r="H101" s="463">
        <v>21.916</v>
      </c>
      <c r="I101" s="469">
        <v>21.916</v>
      </c>
      <c r="J101" s="389"/>
    </row>
    <row r="102" spans="1:10" ht="15" hidden="1">
      <c r="A102" s="148" t="s">
        <v>443</v>
      </c>
      <c r="B102" s="370" t="s">
        <v>444</v>
      </c>
      <c r="C102" s="463">
        <v>18.543</v>
      </c>
      <c r="D102" s="463">
        <v>49.13</v>
      </c>
      <c r="E102" s="463"/>
      <c r="F102" s="463"/>
      <c r="G102" s="463"/>
      <c r="H102" s="463">
        <v>67.673</v>
      </c>
      <c r="I102" s="469">
        <v>67.673</v>
      </c>
      <c r="J102" s="389"/>
    </row>
    <row r="103" spans="1:10" ht="15" customHeight="1" hidden="1" thickBot="1">
      <c r="A103" s="148" t="s">
        <v>445</v>
      </c>
      <c r="B103" s="370" t="s">
        <v>446</v>
      </c>
      <c r="C103" s="470">
        <v>3.273</v>
      </c>
      <c r="D103" s="470">
        <v>8.67</v>
      </c>
      <c r="E103" s="470"/>
      <c r="F103" s="470"/>
      <c r="G103" s="470"/>
      <c r="H103" s="470">
        <v>11.943</v>
      </c>
      <c r="I103" s="471">
        <v>11.943</v>
      </c>
      <c r="J103" s="390"/>
    </row>
    <row r="104" spans="1:10" ht="15.75" hidden="1" thickBot="1">
      <c r="A104" s="397"/>
      <c r="B104" s="391" t="s">
        <v>361</v>
      </c>
      <c r="C104" s="472">
        <f>SUM(C78:C103)</f>
        <v>50392.841</v>
      </c>
      <c r="D104" s="472">
        <f aca="true" t="shared" si="14" ref="D104:J104">SUM(D78:D103)</f>
        <v>126880.322</v>
      </c>
      <c r="E104" s="472">
        <f t="shared" si="14"/>
        <v>31934.016999999996</v>
      </c>
      <c r="F104" s="472">
        <f t="shared" si="14"/>
        <v>907.146</v>
      </c>
      <c r="G104" s="472">
        <f t="shared" si="14"/>
        <v>133459.737</v>
      </c>
      <c r="H104" s="472">
        <f t="shared" si="14"/>
        <v>343574.063</v>
      </c>
      <c r="I104" s="473">
        <f t="shared" si="14"/>
        <v>343574.063</v>
      </c>
      <c r="J104" s="401">
        <f t="shared" si="14"/>
        <v>146.53000000000003</v>
      </c>
    </row>
    <row r="105" spans="1:10" ht="15" hidden="1">
      <c r="A105" s="377" t="s">
        <v>489</v>
      </c>
      <c r="B105" s="378" t="s">
        <v>490</v>
      </c>
      <c r="C105" s="475">
        <v>624.645</v>
      </c>
      <c r="D105" s="475">
        <v>1075.2</v>
      </c>
      <c r="E105" s="475">
        <v>437.22</v>
      </c>
      <c r="F105" s="475">
        <v>12.675</v>
      </c>
      <c r="G105" s="475">
        <v>1234.17</v>
      </c>
      <c r="H105" s="475">
        <v>3383.91</v>
      </c>
      <c r="I105" s="476">
        <v>3383.91</v>
      </c>
      <c r="J105" s="390"/>
    </row>
    <row r="106" spans="1:10" ht="15" hidden="1">
      <c r="A106" s="399" t="s">
        <v>493</v>
      </c>
      <c r="B106" s="400" t="s">
        <v>494</v>
      </c>
      <c r="C106" s="485">
        <v>1146.405</v>
      </c>
      <c r="D106" s="485">
        <v>1209.15</v>
      </c>
      <c r="E106" s="485">
        <v>735.92</v>
      </c>
      <c r="F106" s="485">
        <v>22.965</v>
      </c>
      <c r="G106" s="485">
        <v>1128.75</v>
      </c>
      <c r="H106" s="485">
        <v>4243.19</v>
      </c>
      <c r="I106" s="469">
        <v>4243.19</v>
      </c>
      <c r="J106" s="390"/>
    </row>
    <row r="107" spans="1:10" ht="15" hidden="1">
      <c r="A107" s="399" t="s">
        <v>497</v>
      </c>
      <c r="B107" s="400" t="s">
        <v>498</v>
      </c>
      <c r="C107" s="485">
        <v>494.415</v>
      </c>
      <c r="D107" s="485">
        <v>630.15</v>
      </c>
      <c r="E107" s="485">
        <v>182.25</v>
      </c>
      <c r="F107" s="485">
        <v>9.795</v>
      </c>
      <c r="G107" s="485">
        <v>2189.01</v>
      </c>
      <c r="H107" s="485">
        <v>3505.62</v>
      </c>
      <c r="I107" s="469">
        <v>3505.62</v>
      </c>
      <c r="J107" s="390"/>
    </row>
    <row r="108" spans="1:10" ht="15" hidden="1">
      <c r="A108" s="399" t="s">
        <v>501</v>
      </c>
      <c r="B108" s="400" t="s">
        <v>502</v>
      </c>
      <c r="C108" s="485">
        <v>256.545</v>
      </c>
      <c r="D108" s="485">
        <v>1630.305</v>
      </c>
      <c r="E108" s="485">
        <v>307.065</v>
      </c>
      <c r="F108" s="485">
        <v>5.145</v>
      </c>
      <c r="G108" s="485">
        <v>1385.34</v>
      </c>
      <c r="H108" s="485">
        <v>3584.4</v>
      </c>
      <c r="I108" s="469">
        <v>3584.4</v>
      </c>
      <c r="J108" s="390"/>
    </row>
    <row r="109" spans="1:10" ht="15" hidden="1">
      <c r="A109" s="399" t="s">
        <v>519</v>
      </c>
      <c r="B109" s="400" t="s">
        <v>506</v>
      </c>
      <c r="C109" s="485">
        <v>2926.095</v>
      </c>
      <c r="D109" s="485">
        <v>6429.66</v>
      </c>
      <c r="E109" s="485">
        <v>1302.69</v>
      </c>
      <c r="F109" s="485">
        <v>52.53</v>
      </c>
      <c r="G109" s="485">
        <v>6586.005</v>
      </c>
      <c r="H109" s="485">
        <v>17296.98</v>
      </c>
      <c r="I109" s="469">
        <v>17296.98</v>
      </c>
      <c r="J109" s="390"/>
    </row>
    <row r="110" spans="1:10" ht="15" hidden="1">
      <c r="A110" s="399" t="s">
        <v>509</v>
      </c>
      <c r="B110" s="400" t="s">
        <v>510</v>
      </c>
      <c r="C110" s="485">
        <v>312.795</v>
      </c>
      <c r="D110" s="485">
        <v>360.715</v>
      </c>
      <c r="E110" s="485">
        <v>193.352</v>
      </c>
      <c r="F110" s="485">
        <v>6.6</v>
      </c>
      <c r="G110" s="485">
        <v>2003.085</v>
      </c>
      <c r="H110" s="485">
        <v>2876.547</v>
      </c>
      <c r="I110" s="469">
        <v>2876.547</v>
      </c>
      <c r="J110" s="390"/>
    </row>
    <row r="111" spans="1:10" ht="15" hidden="1">
      <c r="A111" s="399" t="s">
        <v>513</v>
      </c>
      <c r="B111" s="400" t="s">
        <v>514</v>
      </c>
      <c r="C111" s="485">
        <v>2040</v>
      </c>
      <c r="D111" s="485">
        <v>5598.18</v>
      </c>
      <c r="E111" s="485">
        <v>1118.147</v>
      </c>
      <c r="F111" s="485">
        <v>33.9</v>
      </c>
      <c r="G111" s="485">
        <v>8662.605</v>
      </c>
      <c r="H111" s="485">
        <v>17452.832</v>
      </c>
      <c r="I111" s="469">
        <v>17452.832</v>
      </c>
      <c r="J111" s="390"/>
    </row>
    <row r="112" spans="1:10" ht="15" hidden="1">
      <c r="A112" s="399" t="s">
        <v>517</v>
      </c>
      <c r="B112" s="400" t="s">
        <v>518</v>
      </c>
      <c r="C112" s="485">
        <v>603.375</v>
      </c>
      <c r="D112" s="485">
        <v>416.115</v>
      </c>
      <c r="E112" s="485">
        <v>315.96</v>
      </c>
      <c r="F112" s="485">
        <v>13.125</v>
      </c>
      <c r="G112" s="485">
        <v>1606.77</v>
      </c>
      <c r="H112" s="485">
        <v>2955.345</v>
      </c>
      <c r="I112" s="469">
        <v>2955.345</v>
      </c>
      <c r="J112" s="390"/>
    </row>
    <row r="113" spans="1:10" ht="15.75" hidden="1" thickBot="1">
      <c r="A113" s="379" t="s">
        <v>437</v>
      </c>
      <c r="B113" s="380" t="s">
        <v>438</v>
      </c>
      <c r="C113" s="478"/>
      <c r="D113" s="478">
        <v>21.916</v>
      </c>
      <c r="E113" s="478"/>
      <c r="F113" s="478"/>
      <c r="G113" s="478"/>
      <c r="H113" s="478">
        <v>21.916</v>
      </c>
      <c r="I113" s="471">
        <v>21.916</v>
      </c>
      <c r="J113" s="390"/>
    </row>
    <row r="114" spans="1:10" ht="15.75" hidden="1" thickBot="1">
      <c r="A114" s="392"/>
      <c r="B114" s="393" t="s">
        <v>362</v>
      </c>
      <c r="C114" s="483">
        <f>SUM(C105:C113)</f>
        <v>8404.275</v>
      </c>
      <c r="D114" s="483">
        <f aca="true" t="shared" si="15" ref="D114:J114">SUM(D105:D113)</f>
        <v>17371.391000000003</v>
      </c>
      <c r="E114" s="483">
        <f t="shared" si="15"/>
        <v>4592.604</v>
      </c>
      <c r="F114" s="483">
        <f t="shared" si="15"/>
        <v>156.73499999999999</v>
      </c>
      <c r="G114" s="483">
        <f t="shared" si="15"/>
        <v>24795.735</v>
      </c>
      <c r="H114" s="483">
        <f t="shared" si="15"/>
        <v>55320.73999999999</v>
      </c>
      <c r="I114" s="473">
        <f t="shared" si="15"/>
        <v>55320.73999999999</v>
      </c>
      <c r="J114" s="401">
        <f t="shared" si="15"/>
        <v>0</v>
      </c>
    </row>
    <row r="115" spans="1:10" ht="15.75" thickBot="1">
      <c r="A115" s="384"/>
      <c r="B115" s="385" t="s">
        <v>641</v>
      </c>
      <c r="C115" s="481">
        <f>SUM(C114,C104)</f>
        <v>58797.116</v>
      </c>
      <c r="D115" s="481">
        <f aca="true" t="shared" si="16" ref="D115:J115">SUM(D114,D104)</f>
        <v>144251.713</v>
      </c>
      <c r="E115" s="481">
        <f t="shared" si="16"/>
        <v>36526.621</v>
      </c>
      <c r="F115" s="481">
        <f t="shared" si="16"/>
        <v>1063.8809999999999</v>
      </c>
      <c r="G115" s="481">
        <f t="shared" si="16"/>
        <v>158255.472</v>
      </c>
      <c r="H115" s="481">
        <f t="shared" si="16"/>
        <v>398894.803</v>
      </c>
      <c r="I115" s="481">
        <f t="shared" si="16"/>
        <v>398894.803</v>
      </c>
      <c r="J115" s="386">
        <f t="shared" si="16"/>
        <v>146.53000000000003</v>
      </c>
    </row>
    <row r="116" spans="1:10" ht="15" hidden="1">
      <c r="A116" s="141" t="s">
        <v>349</v>
      </c>
      <c r="B116" s="387" t="s">
        <v>350</v>
      </c>
      <c r="C116" s="482">
        <v>8215.62</v>
      </c>
      <c r="D116" s="482">
        <v>3576.005</v>
      </c>
      <c r="E116" s="482">
        <v>3576.969</v>
      </c>
      <c r="F116" s="482">
        <v>123.42</v>
      </c>
      <c r="G116" s="482">
        <v>18551.155</v>
      </c>
      <c r="H116" s="482">
        <v>34043.169</v>
      </c>
      <c r="I116" s="476">
        <v>34043.169</v>
      </c>
      <c r="J116" s="388">
        <v>34.85</v>
      </c>
    </row>
    <row r="117" spans="1:10" ht="15" hidden="1">
      <c r="A117" s="148" t="s">
        <v>351</v>
      </c>
      <c r="B117" s="370" t="s">
        <v>352</v>
      </c>
      <c r="C117" s="463">
        <v>360.58</v>
      </c>
      <c r="D117" s="463">
        <v>462.664</v>
      </c>
      <c r="E117" s="463">
        <v>239.206</v>
      </c>
      <c r="F117" s="463"/>
      <c r="G117" s="463"/>
      <c r="H117" s="463">
        <v>1062.45</v>
      </c>
      <c r="I117" s="469">
        <v>1062.45</v>
      </c>
      <c r="J117" s="389">
        <v>6.15</v>
      </c>
    </row>
    <row r="118" spans="1:10" ht="15" hidden="1">
      <c r="A118" s="148" t="s">
        <v>521</v>
      </c>
      <c r="B118" s="370" t="s">
        <v>522</v>
      </c>
      <c r="C118" s="463">
        <v>293.784</v>
      </c>
      <c r="D118" s="463">
        <v>103.683</v>
      </c>
      <c r="E118" s="463">
        <v>135.14</v>
      </c>
      <c r="F118" s="463">
        <v>2.938</v>
      </c>
      <c r="G118" s="463">
        <v>1476.25</v>
      </c>
      <c r="H118" s="463">
        <v>2011.795</v>
      </c>
      <c r="I118" s="469">
        <v>2011.795</v>
      </c>
      <c r="J118" s="389">
        <v>0.81</v>
      </c>
    </row>
    <row r="119" spans="1:10" ht="15.75" hidden="1" thickBot="1">
      <c r="A119" s="372" t="s">
        <v>523</v>
      </c>
      <c r="B119" s="373" t="s">
        <v>524</v>
      </c>
      <c r="C119" s="470">
        <v>1664.771</v>
      </c>
      <c r="D119" s="470">
        <v>587.535</v>
      </c>
      <c r="E119" s="470">
        <v>765.784</v>
      </c>
      <c r="F119" s="470">
        <v>16.648</v>
      </c>
      <c r="G119" s="470">
        <v>8365.414</v>
      </c>
      <c r="H119" s="470">
        <v>11400.152</v>
      </c>
      <c r="I119" s="471">
        <v>11400.152</v>
      </c>
      <c r="J119" s="390">
        <v>4.59</v>
      </c>
    </row>
    <row r="120" spans="1:10" ht="15.75" hidden="1" thickBot="1">
      <c r="A120" s="375"/>
      <c r="B120" s="376" t="s">
        <v>361</v>
      </c>
      <c r="C120" s="472">
        <f>SUM(C116:C119)</f>
        <v>10534.755000000001</v>
      </c>
      <c r="D120" s="472">
        <f aca="true" t="shared" si="17" ref="D120:J120">SUM(D116:D119)</f>
        <v>4729.887</v>
      </c>
      <c r="E120" s="472">
        <f t="shared" si="17"/>
        <v>4717.099</v>
      </c>
      <c r="F120" s="472">
        <f t="shared" si="17"/>
        <v>143.006</v>
      </c>
      <c r="G120" s="472">
        <f t="shared" si="17"/>
        <v>28392.819</v>
      </c>
      <c r="H120" s="472">
        <f t="shared" si="17"/>
        <v>48517.566</v>
      </c>
      <c r="I120" s="473">
        <f>SUM(I116:I119)</f>
        <v>48517.566</v>
      </c>
      <c r="J120" s="391">
        <f t="shared" si="17"/>
        <v>46.400000000000006</v>
      </c>
    </row>
    <row r="121" spans="1:10" ht="15.75" hidden="1" thickBot="1">
      <c r="A121" s="377" t="s">
        <v>351</v>
      </c>
      <c r="B121" s="378" t="s">
        <v>352</v>
      </c>
      <c r="C121" s="475">
        <v>1089.24</v>
      </c>
      <c r="D121" s="475">
        <v>291.495</v>
      </c>
      <c r="E121" s="475">
        <v>408.915</v>
      </c>
      <c r="F121" s="475">
        <v>21.78</v>
      </c>
      <c r="G121" s="475">
        <v>4583.145</v>
      </c>
      <c r="H121" s="475">
        <v>6394.575</v>
      </c>
      <c r="I121" s="476">
        <v>6394.575</v>
      </c>
      <c r="J121" s="390"/>
    </row>
    <row r="122" spans="1:10" ht="15.75" thickBot="1">
      <c r="A122" s="384"/>
      <c r="B122" s="385" t="s">
        <v>637</v>
      </c>
      <c r="C122" s="481">
        <f>SUM(C120:C121)</f>
        <v>11623.995</v>
      </c>
      <c r="D122" s="481">
        <f aca="true" t="shared" si="18" ref="D122:J122">SUM(D120:D121)</f>
        <v>5021.382</v>
      </c>
      <c r="E122" s="481">
        <f t="shared" si="18"/>
        <v>5126.014</v>
      </c>
      <c r="F122" s="481">
        <f t="shared" si="18"/>
        <v>164.786</v>
      </c>
      <c r="G122" s="481">
        <f t="shared" si="18"/>
        <v>32975.964</v>
      </c>
      <c r="H122" s="481">
        <f t="shared" si="18"/>
        <v>54912.140999999996</v>
      </c>
      <c r="I122" s="481">
        <f t="shared" si="18"/>
        <v>54912.140999999996</v>
      </c>
      <c r="J122" s="386">
        <f t="shared" si="18"/>
        <v>46.400000000000006</v>
      </c>
    </row>
    <row r="123" spans="1:10" ht="15" hidden="1">
      <c r="A123" s="141" t="s">
        <v>353</v>
      </c>
      <c r="B123" s="387" t="s">
        <v>354</v>
      </c>
      <c r="C123" s="482"/>
      <c r="D123" s="482">
        <v>0</v>
      </c>
      <c r="E123" s="482">
        <v>0</v>
      </c>
      <c r="F123" s="482"/>
      <c r="G123" s="482">
        <v>0</v>
      </c>
      <c r="H123" s="482">
        <v>0</v>
      </c>
      <c r="I123" s="476">
        <v>0</v>
      </c>
      <c r="J123" s="388"/>
    </row>
    <row r="124" spans="1:10" ht="15" hidden="1">
      <c r="A124" s="148" t="s">
        <v>355</v>
      </c>
      <c r="B124" s="370" t="s">
        <v>356</v>
      </c>
      <c r="C124" s="463"/>
      <c r="D124" s="463">
        <v>0</v>
      </c>
      <c r="E124" s="463">
        <v>0</v>
      </c>
      <c r="F124" s="463"/>
      <c r="G124" s="463">
        <v>0</v>
      </c>
      <c r="H124" s="463">
        <v>0</v>
      </c>
      <c r="I124" s="469">
        <v>0</v>
      </c>
      <c r="J124" s="389"/>
    </row>
    <row r="125" spans="1:10" ht="15.75" hidden="1" thickBot="1">
      <c r="A125" s="372" t="s">
        <v>525</v>
      </c>
      <c r="B125" s="373" t="s">
        <v>526</v>
      </c>
      <c r="C125" s="470"/>
      <c r="D125" s="470"/>
      <c r="E125" s="470"/>
      <c r="F125" s="470"/>
      <c r="G125" s="470">
        <v>81.764</v>
      </c>
      <c r="H125" s="470">
        <v>81.764</v>
      </c>
      <c r="I125" s="471">
        <v>81.764</v>
      </c>
      <c r="J125" s="390"/>
    </row>
    <row r="126" spans="1:10" ht="15.75" hidden="1" thickBot="1">
      <c r="A126" s="404"/>
      <c r="B126" s="376" t="s">
        <v>361</v>
      </c>
      <c r="C126" s="473">
        <f aca="true" t="shared" si="19" ref="C126:J126">SUM(C123:C125)</f>
        <v>0</v>
      </c>
      <c r="D126" s="473">
        <f t="shared" si="19"/>
        <v>0</v>
      </c>
      <c r="E126" s="473">
        <f t="shared" si="19"/>
        <v>0</v>
      </c>
      <c r="F126" s="473">
        <f t="shared" si="19"/>
        <v>0</v>
      </c>
      <c r="G126" s="473">
        <f t="shared" si="19"/>
        <v>81.764</v>
      </c>
      <c r="H126" s="473">
        <f t="shared" si="19"/>
        <v>81.764</v>
      </c>
      <c r="I126" s="473">
        <f t="shared" si="19"/>
        <v>81.764</v>
      </c>
      <c r="J126" s="376">
        <f t="shared" si="19"/>
        <v>0</v>
      </c>
    </row>
    <row r="127" spans="1:10" ht="15" hidden="1">
      <c r="A127" s="377" t="s">
        <v>353</v>
      </c>
      <c r="B127" s="378" t="s">
        <v>354</v>
      </c>
      <c r="C127" s="475"/>
      <c r="D127" s="475">
        <v>934.751</v>
      </c>
      <c r="E127" s="475">
        <v>242.25</v>
      </c>
      <c r="F127" s="475"/>
      <c r="G127" s="475">
        <v>11420.909</v>
      </c>
      <c r="H127" s="475">
        <v>12597.91</v>
      </c>
      <c r="I127" s="476">
        <v>12597.91</v>
      </c>
      <c r="J127" s="374"/>
    </row>
    <row r="128" spans="1:10" ht="15" hidden="1">
      <c r="A128" s="399" t="s">
        <v>355</v>
      </c>
      <c r="B128" s="400" t="s">
        <v>356</v>
      </c>
      <c r="C128" s="485"/>
      <c r="D128" s="485">
        <v>164.956</v>
      </c>
      <c r="E128" s="485">
        <v>42.75</v>
      </c>
      <c r="F128" s="485"/>
      <c r="G128" s="485">
        <v>2015.454</v>
      </c>
      <c r="H128" s="485">
        <v>2223.16</v>
      </c>
      <c r="I128" s="469">
        <v>2223.16</v>
      </c>
      <c r="J128" s="374"/>
    </row>
    <row r="129" spans="1:10" ht="15" hidden="1">
      <c r="A129" s="399" t="s">
        <v>527</v>
      </c>
      <c r="B129" s="400" t="s">
        <v>528</v>
      </c>
      <c r="C129" s="485"/>
      <c r="D129" s="485"/>
      <c r="E129" s="485"/>
      <c r="F129" s="485"/>
      <c r="G129" s="485">
        <v>14.429</v>
      </c>
      <c r="H129" s="485">
        <v>14.429</v>
      </c>
      <c r="I129" s="469">
        <v>14.429</v>
      </c>
      <c r="J129" s="374"/>
    </row>
    <row r="130" spans="1:10" ht="15" hidden="1">
      <c r="A130" s="377" t="s">
        <v>529</v>
      </c>
      <c r="B130" s="378" t="s">
        <v>530</v>
      </c>
      <c r="C130" s="485"/>
      <c r="D130" s="485"/>
      <c r="E130" s="485"/>
      <c r="F130" s="485"/>
      <c r="G130" s="475">
        <v>8.925</v>
      </c>
      <c r="H130" s="475">
        <v>8.925</v>
      </c>
      <c r="I130" s="476">
        <v>8.925</v>
      </c>
      <c r="J130" s="374"/>
    </row>
    <row r="131" spans="1:10" ht="15.75" hidden="1" thickBot="1">
      <c r="A131" s="399" t="s">
        <v>531</v>
      </c>
      <c r="B131" s="400" t="s">
        <v>532</v>
      </c>
      <c r="C131" s="486"/>
      <c r="D131" s="486"/>
      <c r="E131" s="486"/>
      <c r="F131" s="486"/>
      <c r="G131" s="485">
        <v>1.575</v>
      </c>
      <c r="H131" s="485">
        <v>1.575</v>
      </c>
      <c r="I131" s="469">
        <v>1.575</v>
      </c>
      <c r="J131" s="374"/>
    </row>
    <row r="132" spans="1:10" ht="15.75" hidden="1" thickBot="1">
      <c r="A132" s="392"/>
      <c r="B132" s="393" t="s">
        <v>362</v>
      </c>
      <c r="C132" s="483">
        <f>SUM(C127:C131)</f>
        <v>0</v>
      </c>
      <c r="D132" s="483">
        <f aca="true" t="shared" si="20" ref="D132:J132">SUM(D127:D131)</f>
        <v>1099.7069999999999</v>
      </c>
      <c r="E132" s="483">
        <f t="shared" si="20"/>
        <v>285</v>
      </c>
      <c r="F132" s="483">
        <f t="shared" si="20"/>
        <v>0</v>
      </c>
      <c r="G132" s="483">
        <f t="shared" si="20"/>
        <v>13461.292</v>
      </c>
      <c r="H132" s="483">
        <f t="shared" si="20"/>
        <v>14845.999</v>
      </c>
      <c r="I132" s="473">
        <f t="shared" si="20"/>
        <v>14845.999</v>
      </c>
      <c r="J132" s="394">
        <f t="shared" si="20"/>
        <v>0</v>
      </c>
    </row>
    <row r="133" spans="1:10" ht="15.75" thickBot="1">
      <c r="A133" s="384"/>
      <c r="B133" s="385" t="s">
        <v>638</v>
      </c>
      <c r="C133" s="481">
        <f>SUM(C132,C126)</f>
        <v>0</v>
      </c>
      <c r="D133" s="481">
        <f aca="true" t="shared" si="21" ref="D133:J133">SUM(D132,D126)</f>
        <v>1099.7069999999999</v>
      </c>
      <c r="E133" s="481">
        <f t="shared" si="21"/>
        <v>285</v>
      </c>
      <c r="F133" s="481">
        <f t="shared" si="21"/>
        <v>0</v>
      </c>
      <c r="G133" s="481">
        <f t="shared" si="21"/>
        <v>13543.055999999999</v>
      </c>
      <c r="H133" s="481">
        <f t="shared" si="21"/>
        <v>14927.762999999999</v>
      </c>
      <c r="I133" s="481">
        <f t="shared" si="21"/>
        <v>14927.762999999999</v>
      </c>
      <c r="J133" s="386">
        <f t="shared" si="21"/>
        <v>0</v>
      </c>
    </row>
    <row r="134" spans="1:10" ht="15" hidden="1">
      <c r="A134" s="141" t="s">
        <v>533</v>
      </c>
      <c r="B134" s="387" t="s">
        <v>534</v>
      </c>
      <c r="C134" s="482">
        <v>7275.68</v>
      </c>
      <c r="D134" s="482">
        <v>7279.449</v>
      </c>
      <c r="E134" s="482">
        <v>1190.68</v>
      </c>
      <c r="F134" s="482">
        <v>62.799</v>
      </c>
      <c r="G134" s="482">
        <v>1224.34</v>
      </c>
      <c r="H134" s="482">
        <v>17032.948</v>
      </c>
      <c r="I134" s="476">
        <v>17032.948</v>
      </c>
      <c r="J134" s="388">
        <v>15.79</v>
      </c>
    </row>
    <row r="135" spans="1:10" ht="15" hidden="1">
      <c r="A135" s="148" t="s">
        <v>535</v>
      </c>
      <c r="B135" s="370" t="s">
        <v>536</v>
      </c>
      <c r="C135" s="463">
        <v>723.334</v>
      </c>
      <c r="D135" s="463">
        <v>442.04</v>
      </c>
      <c r="E135" s="463"/>
      <c r="F135" s="463"/>
      <c r="G135" s="463"/>
      <c r="H135" s="463">
        <v>1165.374</v>
      </c>
      <c r="I135" s="469">
        <v>1165.374</v>
      </c>
      <c r="J135" s="389">
        <v>2.79</v>
      </c>
    </row>
    <row r="136" spans="1:10" ht="15" hidden="1">
      <c r="A136" s="148" t="s">
        <v>537</v>
      </c>
      <c r="B136" s="370" t="s">
        <v>538</v>
      </c>
      <c r="C136" s="463"/>
      <c r="D136" s="463">
        <v>1096.5</v>
      </c>
      <c r="E136" s="463">
        <v>163.719</v>
      </c>
      <c r="F136" s="463"/>
      <c r="G136" s="463">
        <v>1173.848</v>
      </c>
      <c r="H136" s="463">
        <v>2434.067</v>
      </c>
      <c r="I136" s="469">
        <v>2434.067</v>
      </c>
      <c r="J136" s="389"/>
    </row>
    <row r="137" spans="1:10" ht="15" hidden="1">
      <c r="A137" s="148" t="s">
        <v>539</v>
      </c>
      <c r="B137" s="370" t="s">
        <v>540</v>
      </c>
      <c r="C137" s="463">
        <v>806.752</v>
      </c>
      <c r="D137" s="463">
        <v>2949.971</v>
      </c>
      <c r="E137" s="463">
        <v>824.767</v>
      </c>
      <c r="F137" s="463">
        <v>21.596</v>
      </c>
      <c r="G137" s="463">
        <v>460.275</v>
      </c>
      <c r="H137" s="463">
        <v>5063.361</v>
      </c>
      <c r="I137" s="469">
        <v>5063.361</v>
      </c>
      <c r="J137" s="389">
        <v>0.85</v>
      </c>
    </row>
    <row r="138" spans="1:10" ht="15" hidden="1">
      <c r="A138" s="148" t="s">
        <v>541</v>
      </c>
      <c r="B138" s="370" t="s">
        <v>542</v>
      </c>
      <c r="C138" s="463">
        <v>82.753</v>
      </c>
      <c r="D138" s="463">
        <v>306.891</v>
      </c>
      <c r="E138" s="463">
        <v>63.636</v>
      </c>
      <c r="F138" s="463">
        <v>1.787</v>
      </c>
      <c r="G138" s="463"/>
      <c r="H138" s="463">
        <v>455.067</v>
      </c>
      <c r="I138" s="469">
        <v>455.067</v>
      </c>
      <c r="J138" s="389">
        <v>0.15</v>
      </c>
    </row>
    <row r="139" spans="1:10" ht="15" hidden="1">
      <c r="A139" s="148" t="s">
        <v>543</v>
      </c>
      <c r="B139" s="370" t="s">
        <v>544</v>
      </c>
      <c r="C139" s="463">
        <v>4068.26</v>
      </c>
      <c r="D139" s="463">
        <v>9641.71</v>
      </c>
      <c r="E139" s="463">
        <v>3284.04</v>
      </c>
      <c r="F139" s="463">
        <v>61.015</v>
      </c>
      <c r="G139" s="463">
        <v>8243.315</v>
      </c>
      <c r="H139" s="463">
        <v>25298.34</v>
      </c>
      <c r="I139" s="469">
        <v>25298.34</v>
      </c>
      <c r="J139" s="389">
        <v>17</v>
      </c>
    </row>
    <row r="140" spans="1:10" ht="15.75" hidden="1" thickBot="1">
      <c r="A140" s="372" t="s">
        <v>545</v>
      </c>
      <c r="B140" s="373" t="s">
        <v>546</v>
      </c>
      <c r="C140" s="470">
        <v>310.52</v>
      </c>
      <c r="D140" s="470">
        <v>722.42</v>
      </c>
      <c r="E140" s="470">
        <v>234.17</v>
      </c>
      <c r="F140" s="470">
        <v>3.57</v>
      </c>
      <c r="G140" s="470">
        <v>654.712</v>
      </c>
      <c r="H140" s="470">
        <v>1925.392</v>
      </c>
      <c r="I140" s="471">
        <v>1925.392</v>
      </c>
      <c r="J140" s="390">
        <v>3</v>
      </c>
    </row>
    <row r="141" spans="1:10" ht="15.75" hidden="1" thickBot="1">
      <c r="A141" s="375"/>
      <c r="B141" s="376" t="s">
        <v>361</v>
      </c>
      <c r="C141" s="472">
        <f>SUM(C134:C140)</f>
        <v>13267.299</v>
      </c>
      <c r="D141" s="472">
        <f aca="true" t="shared" si="22" ref="D141:J141">SUM(D134:D140)</f>
        <v>22438.980999999996</v>
      </c>
      <c r="E141" s="472">
        <f t="shared" si="22"/>
        <v>5761.012000000001</v>
      </c>
      <c r="F141" s="472">
        <f t="shared" si="22"/>
        <v>150.767</v>
      </c>
      <c r="G141" s="472">
        <f t="shared" si="22"/>
        <v>11756.49</v>
      </c>
      <c r="H141" s="472">
        <f t="shared" si="22"/>
        <v>53374.549</v>
      </c>
      <c r="I141" s="472">
        <f t="shared" si="22"/>
        <v>53374.549</v>
      </c>
      <c r="J141" s="391">
        <f t="shared" si="22"/>
        <v>39.58</v>
      </c>
    </row>
    <row r="142" spans="1:10" ht="15" hidden="1">
      <c r="A142" s="377" t="s">
        <v>535</v>
      </c>
      <c r="B142" s="378" t="s">
        <v>536</v>
      </c>
      <c r="C142" s="475">
        <v>560.61</v>
      </c>
      <c r="D142" s="475">
        <v>842.57</v>
      </c>
      <c r="E142" s="475">
        <v>210.12</v>
      </c>
      <c r="F142" s="475">
        <v>11.085</v>
      </c>
      <c r="G142" s="475">
        <v>216.06</v>
      </c>
      <c r="H142" s="475">
        <v>1840.445</v>
      </c>
      <c r="I142" s="476">
        <v>1840.445</v>
      </c>
      <c r="J142" s="374"/>
    </row>
    <row r="143" spans="1:10" ht="15" hidden="1">
      <c r="A143" s="399" t="s">
        <v>547</v>
      </c>
      <c r="B143" s="400" t="s">
        <v>548</v>
      </c>
      <c r="C143" s="485"/>
      <c r="D143" s="485">
        <v>185.25</v>
      </c>
      <c r="E143" s="485">
        <v>28.892</v>
      </c>
      <c r="F143" s="485"/>
      <c r="G143" s="485">
        <v>207.15</v>
      </c>
      <c r="H143" s="485">
        <v>421.292</v>
      </c>
      <c r="I143" s="469">
        <v>421.292</v>
      </c>
      <c r="J143" s="374"/>
    </row>
    <row r="144" spans="1:10" ht="15" hidden="1">
      <c r="A144" s="399" t="s">
        <v>541</v>
      </c>
      <c r="B144" s="400" t="s">
        <v>542</v>
      </c>
      <c r="C144" s="485">
        <v>60.38</v>
      </c>
      <c r="D144" s="485">
        <v>213.675</v>
      </c>
      <c r="E144" s="485">
        <v>81.9</v>
      </c>
      <c r="F144" s="485">
        <v>2.025</v>
      </c>
      <c r="G144" s="485">
        <v>81.225</v>
      </c>
      <c r="H144" s="485">
        <v>439.205</v>
      </c>
      <c r="I144" s="469">
        <v>439.205</v>
      </c>
      <c r="J144" s="374"/>
    </row>
    <row r="145" spans="1:10" ht="15" hidden="1">
      <c r="A145" s="399" t="s">
        <v>543</v>
      </c>
      <c r="B145" s="400" t="s">
        <v>544</v>
      </c>
      <c r="C145" s="485"/>
      <c r="D145" s="485"/>
      <c r="E145" s="485"/>
      <c r="F145" s="485">
        <v>0</v>
      </c>
      <c r="G145" s="485"/>
      <c r="H145" s="485">
        <v>0</v>
      </c>
      <c r="I145" s="469">
        <v>0</v>
      </c>
      <c r="J145" s="374"/>
    </row>
    <row r="146" spans="1:10" ht="15.75" hidden="1" thickBot="1">
      <c r="A146" s="399" t="s">
        <v>545</v>
      </c>
      <c r="B146" s="400" t="s">
        <v>546</v>
      </c>
      <c r="C146" s="485">
        <v>408</v>
      </c>
      <c r="D146" s="485">
        <v>983.46</v>
      </c>
      <c r="E146" s="485">
        <v>345.47</v>
      </c>
      <c r="F146" s="485">
        <v>7.199</v>
      </c>
      <c r="G146" s="485">
        <v>800</v>
      </c>
      <c r="H146" s="485">
        <v>2544.129</v>
      </c>
      <c r="I146" s="469">
        <v>2544.129</v>
      </c>
      <c r="J146" s="374"/>
    </row>
    <row r="147" spans="1:10" ht="15.75" hidden="1" thickBot="1">
      <c r="A147" s="392"/>
      <c r="B147" s="393" t="s">
        <v>362</v>
      </c>
      <c r="C147" s="483">
        <f aca="true" t="shared" si="23" ref="C147:J147">SUM(C142:C146)</f>
        <v>1028.99</v>
      </c>
      <c r="D147" s="483">
        <f t="shared" si="23"/>
        <v>2224.955</v>
      </c>
      <c r="E147" s="483">
        <f t="shared" si="23"/>
        <v>666.3820000000001</v>
      </c>
      <c r="F147" s="483">
        <f t="shared" si="23"/>
        <v>20.309</v>
      </c>
      <c r="G147" s="483">
        <f t="shared" si="23"/>
        <v>1304.435</v>
      </c>
      <c r="H147" s="483">
        <f t="shared" si="23"/>
        <v>5245.071</v>
      </c>
      <c r="I147" s="473">
        <f t="shared" si="23"/>
        <v>5245.071</v>
      </c>
      <c r="J147" s="394">
        <f t="shared" si="23"/>
        <v>0</v>
      </c>
    </row>
    <row r="148" spans="1:10" ht="15.75" thickBot="1">
      <c r="A148" s="384"/>
      <c r="B148" s="385" t="s">
        <v>639</v>
      </c>
      <c r="C148" s="481">
        <f>SUM(C147,C141)</f>
        <v>14296.289</v>
      </c>
      <c r="D148" s="481">
        <f aca="true" t="shared" si="24" ref="D148:J148">SUM(D147,D141)</f>
        <v>24663.935999999994</v>
      </c>
      <c r="E148" s="481">
        <f t="shared" si="24"/>
        <v>6427.394</v>
      </c>
      <c r="F148" s="481">
        <f t="shared" si="24"/>
        <v>171.076</v>
      </c>
      <c r="G148" s="481">
        <f t="shared" si="24"/>
        <v>13060.925</v>
      </c>
      <c r="H148" s="481">
        <f t="shared" si="24"/>
        <v>58619.619999999995</v>
      </c>
      <c r="I148" s="481">
        <f t="shared" si="24"/>
        <v>58619.619999999995</v>
      </c>
      <c r="J148" s="386">
        <f t="shared" si="24"/>
        <v>39.58</v>
      </c>
    </row>
    <row r="149" spans="1:10" ht="15" hidden="1">
      <c r="A149" s="141" t="s">
        <v>549</v>
      </c>
      <c r="B149" s="387" t="s">
        <v>550</v>
      </c>
      <c r="C149" s="482">
        <v>53.571</v>
      </c>
      <c r="D149" s="482"/>
      <c r="E149" s="482">
        <v>18.213</v>
      </c>
      <c r="F149" s="482">
        <v>0.539</v>
      </c>
      <c r="G149" s="482">
        <v>140.629</v>
      </c>
      <c r="H149" s="482">
        <v>212.952</v>
      </c>
      <c r="I149" s="476">
        <v>212.952</v>
      </c>
      <c r="J149" s="388"/>
    </row>
    <row r="150" spans="1:10" ht="15" hidden="1">
      <c r="A150" s="148" t="s">
        <v>551</v>
      </c>
      <c r="B150" s="370" t="s">
        <v>552</v>
      </c>
      <c r="C150" s="463">
        <v>9.46</v>
      </c>
      <c r="D150" s="463"/>
      <c r="E150" s="463">
        <v>3.214</v>
      </c>
      <c r="F150" s="463">
        <v>0.095</v>
      </c>
      <c r="G150" s="463">
        <v>24.816</v>
      </c>
      <c r="H150" s="463">
        <v>37.585</v>
      </c>
      <c r="I150" s="469">
        <v>37.585</v>
      </c>
      <c r="J150" s="389"/>
    </row>
    <row r="151" spans="1:10" ht="15" hidden="1">
      <c r="A151" s="148" t="s">
        <v>553</v>
      </c>
      <c r="B151" s="370" t="s">
        <v>554</v>
      </c>
      <c r="C151" s="463">
        <v>14.558</v>
      </c>
      <c r="D151" s="463"/>
      <c r="E151" s="463">
        <v>4.949</v>
      </c>
      <c r="F151" s="463">
        <v>0.147</v>
      </c>
      <c r="G151" s="463"/>
      <c r="H151" s="463">
        <v>19.654</v>
      </c>
      <c r="I151" s="469">
        <v>19.654</v>
      </c>
      <c r="J151" s="389"/>
    </row>
    <row r="152" spans="1:10" ht="15" hidden="1">
      <c r="A152" s="148" t="s">
        <v>555</v>
      </c>
      <c r="B152" s="370" t="s">
        <v>556</v>
      </c>
      <c r="C152" s="463">
        <v>2.57</v>
      </c>
      <c r="D152" s="463"/>
      <c r="E152" s="463">
        <v>0.874</v>
      </c>
      <c r="F152" s="463">
        <v>0.026</v>
      </c>
      <c r="G152" s="463"/>
      <c r="H152" s="463">
        <v>3.47</v>
      </c>
      <c r="I152" s="469">
        <v>3.47</v>
      </c>
      <c r="J152" s="389"/>
    </row>
    <row r="153" spans="1:10" ht="15" hidden="1">
      <c r="A153" s="148" t="s">
        <v>557</v>
      </c>
      <c r="B153" s="370" t="s">
        <v>558</v>
      </c>
      <c r="C153" s="463">
        <v>13.401</v>
      </c>
      <c r="D153" s="463"/>
      <c r="E153" s="463">
        <v>4.556</v>
      </c>
      <c r="F153" s="463">
        <v>0.136</v>
      </c>
      <c r="G153" s="463">
        <v>18.491</v>
      </c>
      <c r="H153" s="463">
        <v>36.584</v>
      </c>
      <c r="I153" s="469">
        <v>36.584</v>
      </c>
      <c r="J153" s="389"/>
    </row>
    <row r="154" spans="1:10" ht="15" hidden="1">
      <c r="A154" s="148" t="s">
        <v>559</v>
      </c>
      <c r="B154" s="370" t="s">
        <v>560</v>
      </c>
      <c r="C154" s="463">
        <v>2.365</v>
      </c>
      <c r="D154" s="463"/>
      <c r="E154" s="463">
        <v>0.804</v>
      </c>
      <c r="F154" s="463">
        <v>0.024</v>
      </c>
      <c r="G154" s="463">
        <v>3.264</v>
      </c>
      <c r="H154" s="463">
        <v>6.457</v>
      </c>
      <c r="I154" s="469">
        <v>6.457</v>
      </c>
      <c r="J154" s="389"/>
    </row>
    <row r="155" spans="1:10" ht="15" hidden="1">
      <c r="A155" s="148" t="s">
        <v>357</v>
      </c>
      <c r="B155" s="370" t="s">
        <v>358</v>
      </c>
      <c r="C155" s="463">
        <v>3630.923</v>
      </c>
      <c r="D155" s="463">
        <v>11218.98</v>
      </c>
      <c r="E155" s="463">
        <v>3458.682</v>
      </c>
      <c r="F155" s="463"/>
      <c r="G155" s="463">
        <v>33155.911</v>
      </c>
      <c r="H155" s="463">
        <v>51464.496</v>
      </c>
      <c r="I155" s="469">
        <v>51464.496</v>
      </c>
      <c r="J155" s="389">
        <v>25.37</v>
      </c>
    </row>
    <row r="156" spans="1:10" ht="15.75" hidden="1" thickBot="1">
      <c r="A156" s="148" t="s">
        <v>359</v>
      </c>
      <c r="B156" s="370" t="s">
        <v>360</v>
      </c>
      <c r="C156" s="463">
        <v>0</v>
      </c>
      <c r="D156" s="463"/>
      <c r="E156" s="463"/>
      <c r="F156" s="463"/>
      <c r="G156" s="463"/>
      <c r="H156" s="463">
        <v>0</v>
      </c>
      <c r="I156" s="469">
        <v>0</v>
      </c>
      <c r="J156" s="389">
        <v>4.48</v>
      </c>
    </row>
    <row r="157" spans="1:10" ht="15.75" hidden="1" thickBot="1">
      <c r="A157" s="375"/>
      <c r="B157" s="376" t="s">
        <v>361</v>
      </c>
      <c r="C157" s="472">
        <f>SUM(C149:C156)</f>
        <v>3726.848</v>
      </c>
      <c r="D157" s="472">
        <f aca="true" t="shared" si="25" ref="D157:J157">SUM(D149:D156)</f>
        <v>11218.98</v>
      </c>
      <c r="E157" s="472">
        <f t="shared" si="25"/>
        <v>3491.292</v>
      </c>
      <c r="F157" s="472">
        <f t="shared" si="25"/>
        <v>0.9670000000000001</v>
      </c>
      <c r="G157" s="472">
        <f t="shared" si="25"/>
        <v>33343.111</v>
      </c>
      <c r="H157" s="472">
        <f t="shared" si="25"/>
        <v>51781.198</v>
      </c>
      <c r="I157" s="472">
        <f t="shared" si="25"/>
        <v>51781.198</v>
      </c>
      <c r="J157" s="391">
        <f t="shared" si="25"/>
        <v>29.85</v>
      </c>
    </row>
    <row r="158" spans="1:10" ht="15.75" hidden="1" thickBot="1">
      <c r="A158" s="381" t="s">
        <v>359</v>
      </c>
      <c r="B158" s="382" t="s">
        <v>360</v>
      </c>
      <c r="C158" s="479">
        <v>640.755</v>
      </c>
      <c r="D158" s="479">
        <v>1979.82</v>
      </c>
      <c r="E158" s="479">
        <v>610.36</v>
      </c>
      <c r="F158" s="479"/>
      <c r="G158" s="479">
        <v>5851.05</v>
      </c>
      <c r="H158" s="479">
        <v>9081.985</v>
      </c>
      <c r="I158" s="480">
        <v>9081.985</v>
      </c>
      <c r="J158" s="390"/>
    </row>
    <row r="159" spans="1:10" ht="15.75" thickBot="1">
      <c r="A159" s="384"/>
      <c r="B159" s="385" t="s">
        <v>642</v>
      </c>
      <c r="C159" s="481">
        <f>SUM(C157:C158)</f>
        <v>4367.603</v>
      </c>
      <c r="D159" s="481">
        <f aca="true" t="shared" si="26" ref="D159:J159">SUM(D157:D158)</f>
        <v>13198.8</v>
      </c>
      <c r="E159" s="481">
        <f t="shared" si="26"/>
        <v>4101.652</v>
      </c>
      <c r="F159" s="481">
        <f t="shared" si="26"/>
        <v>0.9670000000000001</v>
      </c>
      <c r="G159" s="481">
        <f t="shared" si="26"/>
        <v>39194.161</v>
      </c>
      <c r="H159" s="481">
        <f>SUM(H157:H158)</f>
        <v>60863.183</v>
      </c>
      <c r="I159" s="481">
        <f t="shared" si="26"/>
        <v>60863.183</v>
      </c>
      <c r="J159" s="386">
        <f t="shared" si="26"/>
        <v>29.85</v>
      </c>
    </row>
    <row r="160" spans="1:10" ht="15.75" thickBot="1">
      <c r="A160" s="397"/>
      <c r="B160" s="391" t="s">
        <v>102</v>
      </c>
      <c r="C160" s="472">
        <f aca="true" t="shared" si="27" ref="C160:J160">SUM(C32,C159,C148,C133,C122,C24,C115,C71,C27,C77,C13)</f>
        <v>111475.60500000001</v>
      </c>
      <c r="D160" s="472">
        <f t="shared" si="27"/>
        <v>228312.54599999994</v>
      </c>
      <c r="E160" s="472">
        <f t="shared" si="27"/>
        <v>69816.996</v>
      </c>
      <c r="F160" s="472">
        <f t="shared" si="27"/>
        <v>1788.433</v>
      </c>
      <c r="G160" s="472">
        <f t="shared" si="27"/>
        <v>306266.611</v>
      </c>
      <c r="H160" s="472">
        <f t="shared" si="27"/>
        <v>717660.191</v>
      </c>
      <c r="I160" s="473">
        <f t="shared" si="27"/>
        <v>717660.191</v>
      </c>
      <c r="J160" s="394">
        <f t="shared" si="27"/>
        <v>305.99000000000007</v>
      </c>
    </row>
  </sheetData>
  <sheetProtection/>
  <printOptions/>
  <pageMargins left="0.7086614173228347" right="0.3937007874015748" top="0.984251968503937" bottom="0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I24"/>
  <sheetViews>
    <sheetView zoomScale="72" zoomScaleNormal="72"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I14" sqref="I14"/>
    </sheetView>
  </sheetViews>
  <sheetFormatPr defaultColWidth="9.140625" defaultRowHeight="12.75"/>
  <cols>
    <col min="1" max="1" width="18.140625" style="104" customWidth="1"/>
    <col min="2" max="2" width="18.28125" style="104" customWidth="1"/>
    <col min="3" max="3" width="17.140625" style="104" bestFit="1" customWidth="1"/>
    <col min="4" max="4" width="17.8515625" style="104" bestFit="1" customWidth="1"/>
    <col min="5" max="5" width="13.7109375" style="104" bestFit="1" customWidth="1"/>
    <col min="6" max="16384" width="9.140625" style="104" customWidth="1"/>
  </cols>
  <sheetData>
    <row r="2" spans="1:5" ht="15.75">
      <c r="A2" s="105"/>
      <c r="D2" s="128" t="s">
        <v>127</v>
      </c>
      <c r="E2" s="25"/>
    </row>
    <row r="4" ht="15.75">
      <c r="A4" s="107" t="s">
        <v>402</v>
      </c>
    </row>
    <row r="5" ht="15.75">
      <c r="A5" s="107"/>
    </row>
    <row r="6" spans="1:5" ht="16.5" thickBot="1">
      <c r="A6" s="107"/>
      <c r="E6" s="108" t="s">
        <v>423</v>
      </c>
    </row>
    <row r="7" spans="1:5" ht="75.75" customHeight="1" thickBot="1">
      <c r="A7" s="169"/>
      <c r="B7" s="170" t="s">
        <v>128</v>
      </c>
      <c r="C7" s="171" t="s">
        <v>129</v>
      </c>
      <c r="D7" s="171" t="s">
        <v>657</v>
      </c>
      <c r="E7" s="172" t="s">
        <v>118</v>
      </c>
    </row>
    <row r="8" spans="1:5" ht="15.75" thickBot="1">
      <c r="A8" s="173"/>
      <c r="B8" s="174" t="s">
        <v>122</v>
      </c>
      <c r="C8" s="175" t="s">
        <v>123</v>
      </c>
      <c r="D8" s="175" t="s">
        <v>124</v>
      </c>
      <c r="E8" s="176" t="s">
        <v>125</v>
      </c>
    </row>
    <row r="9" spans="1:5" ht="15">
      <c r="A9" s="177" t="s">
        <v>418</v>
      </c>
      <c r="B9" s="550">
        <f>1a!I10*1000+vynosy!B8</f>
        <v>25573797</v>
      </c>
      <c r="C9" s="189">
        <f>'HV-HC'!D5</f>
        <v>68682099.8</v>
      </c>
      <c r="D9" s="346">
        <f>C9-B9</f>
        <v>43108302.8</v>
      </c>
      <c r="E9" s="347">
        <f>(C9/B9)*100</f>
        <v>268.56434263554996</v>
      </c>
    </row>
    <row r="10" spans="1:5" ht="15">
      <c r="A10" s="177" t="s">
        <v>425</v>
      </c>
      <c r="B10" s="550">
        <f>1a!I20*1000+vynosy!B9</f>
        <v>10687635.999999998</v>
      </c>
      <c r="C10" s="189">
        <f>'HV-HC'!E5+'HV-JC '!D5</f>
        <v>32502243.429999996</v>
      </c>
      <c r="D10" s="346">
        <f aca="true" t="shared" si="0" ref="D10:D23">C10-B10</f>
        <v>21814607.43</v>
      </c>
      <c r="E10" s="347">
        <f aca="true" t="shared" si="1" ref="E10:E23">(C10/B10)*100</f>
        <v>304.1106885563842</v>
      </c>
    </row>
    <row r="11" spans="1:5" ht="15">
      <c r="A11" s="177" t="s">
        <v>409</v>
      </c>
      <c r="B11" s="550">
        <f>1a!I30*1000+vynosy!B10</f>
        <v>3479000</v>
      </c>
      <c r="C11" s="189">
        <f>'HV-HC'!F5+'HV-JC '!E5</f>
        <v>7430462.0600000005</v>
      </c>
      <c r="D11" s="346">
        <f t="shared" si="0"/>
        <v>3951462.0600000005</v>
      </c>
      <c r="E11" s="347">
        <f t="shared" si="1"/>
        <v>213.58039839034205</v>
      </c>
    </row>
    <row r="12" spans="1:5" ht="15">
      <c r="A12" s="177" t="s">
        <v>419</v>
      </c>
      <c r="B12" s="550">
        <f>1a!I40*1000+vynosy!B11</f>
        <v>2192400</v>
      </c>
      <c r="C12" s="189">
        <f>'HV-HC'!G5+'HV-JC '!F5</f>
        <v>4428210.88</v>
      </c>
      <c r="D12" s="346">
        <f t="shared" si="0"/>
        <v>2235810.88</v>
      </c>
      <c r="E12" s="347">
        <f t="shared" si="1"/>
        <v>201.98006203247581</v>
      </c>
    </row>
    <row r="13" spans="1:5" ht="15">
      <c r="A13" s="177" t="s">
        <v>5</v>
      </c>
      <c r="B13" s="550">
        <f>1a!I50*1000+vynosy!B12</f>
        <v>74608852</v>
      </c>
      <c r="C13" s="189">
        <f>'HV-HC'!H5+'HV-JC '!G5</f>
        <v>101518316.83000001</v>
      </c>
      <c r="D13" s="346">
        <f t="shared" si="0"/>
        <v>26909464.830000013</v>
      </c>
      <c r="E13" s="347">
        <f t="shared" si="1"/>
        <v>136.06738893395652</v>
      </c>
    </row>
    <row r="14" spans="1:5" ht="15">
      <c r="A14" s="177" t="s">
        <v>4</v>
      </c>
      <c r="B14" s="550">
        <f>1a!I60*1000+vynosy!B13</f>
        <v>156206600</v>
      </c>
      <c r="C14" s="189">
        <f>'HV-HC'!I5+'HV-JC '!H5</f>
        <v>156420324.07000002</v>
      </c>
      <c r="D14" s="346">
        <f t="shared" si="0"/>
        <v>213724.07000002265</v>
      </c>
      <c r="E14" s="347">
        <f t="shared" si="1"/>
        <v>100.13682140831439</v>
      </c>
    </row>
    <row r="15" spans="1:5" ht="15">
      <c r="A15" s="177" t="s">
        <v>420</v>
      </c>
      <c r="B15" s="550">
        <f>1a!I70*1000+vynosy!B14</f>
        <v>433863374</v>
      </c>
      <c r="C15" s="189">
        <f>'HV-HC'!J5+'HV-JC '!I5</f>
        <v>407692966.07000005</v>
      </c>
      <c r="D15" s="346">
        <f t="shared" si="0"/>
        <v>-26170407.929999948</v>
      </c>
      <c r="E15" s="347">
        <f t="shared" si="1"/>
        <v>93.96805319409147</v>
      </c>
    </row>
    <row r="16" spans="1:7" ht="15">
      <c r="A16" s="177" t="s">
        <v>421</v>
      </c>
      <c r="B16" s="550">
        <f>1a!I80*1000+vynosy!B15</f>
        <v>23134000</v>
      </c>
      <c r="C16" s="189">
        <f>'HV-HC'!K5</f>
        <v>19956348.93</v>
      </c>
      <c r="D16" s="346">
        <f t="shared" si="0"/>
        <v>-3177651.0700000003</v>
      </c>
      <c r="E16" s="347">
        <f t="shared" si="1"/>
        <v>86.2641520273191</v>
      </c>
      <c r="G16" s="109"/>
    </row>
    <row r="17" spans="1:5" ht="15">
      <c r="A17" s="177" t="s">
        <v>6</v>
      </c>
      <c r="B17" s="550">
        <f>1a!I90*1000+vynosy!B16</f>
        <v>88519286</v>
      </c>
      <c r="C17" s="189">
        <f>'HV-HC'!L5+'HV-JC '!J5</f>
        <v>131095510.63</v>
      </c>
      <c r="D17" s="346">
        <f t="shared" si="0"/>
        <v>42576224.629999995</v>
      </c>
      <c r="E17" s="347">
        <f t="shared" si="1"/>
        <v>148.09824678206283</v>
      </c>
    </row>
    <row r="18" spans="1:9" ht="15">
      <c r="A18" s="178" t="s">
        <v>190</v>
      </c>
      <c r="B18" s="550">
        <f>1a!I100*1000+vynosy!B17</f>
        <v>350406000</v>
      </c>
      <c r="C18" s="189">
        <f>'HV-HC'!M5+'HV-JC '!K5</f>
        <v>214635477.82</v>
      </c>
      <c r="D18" s="346">
        <f t="shared" si="0"/>
        <v>-135770522.18</v>
      </c>
      <c r="E18" s="347">
        <f t="shared" si="1"/>
        <v>61.25336832702636</v>
      </c>
      <c r="I18" s="109"/>
    </row>
    <row r="19" spans="1:7" ht="15">
      <c r="A19" s="179" t="s">
        <v>7</v>
      </c>
      <c r="B19" s="550">
        <f>1a!I110*1000+vynosy!B18</f>
        <v>12530000</v>
      </c>
      <c r="C19" s="189">
        <f>'HV-HC'!N5</f>
        <v>12726774.7</v>
      </c>
      <c r="D19" s="346">
        <f t="shared" si="0"/>
        <v>196774.69999999925</v>
      </c>
      <c r="E19" s="347">
        <f t="shared" si="1"/>
        <v>101.57042857142858</v>
      </c>
      <c r="G19" s="109"/>
    </row>
    <row r="20" spans="1:5" ht="15">
      <c r="A20" s="180" t="s">
        <v>422</v>
      </c>
      <c r="B20" s="550">
        <f>1a!I120*1000+vynosy!B19</f>
        <v>120419787</v>
      </c>
      <c r="C20" s="189">
        <f>'HV-HC'!O5+'HV-JC '!L5</f>
        <v>132185938.15</v>
      </c>
      <c r="D20" s="346">
        <f t="shared" si="0"/>
        <v>11766151.150000006</v>
      </c>
      <c r="E20" s="347">
        <f t="shared" si="1"/>
        <v>109.77094499428073</v>
      </c>
    </row>
    <row r="21" spans="1:7" ht="15">
      <c r="A21" s="180" t="s">
        <v>191</v>
      </c>
      <c r="B21" s="550">
        <f>1a!I130*1000+vynosy!B20</f>
        <v>280827371</v>
      </c>
      <c r="C21" s="189">
        <f>'HV-HC'!P5+'HV-JC '!M5</f>
        <v>271744999.6100001</v>
      </c>
      <c r="D21" s="346">
        <f t="shared" si="0"/>
        <v>-9082371.389999926</v>
      </c>
      <c r="E21" s="347">
        <f t="shared" si="1"/>
        <v>96.76585250303114</v>
      </c>
      <c r="G21" s="109"/>
    </row>
    <row r="22" spans="1:5" ht="15">
      <c r="A22" s="180" t="s">
        <v>8</v>
      </c>
      <c r="B22" s="550">
        <f>1a!I140*1000+vynosy!B21</f>
        <v>5243000</v>
      </c>
      <c r="C22" s="189">
        <f>'HV-HC'!Q5</f>
        <v>5812446.850000001</v>
      </c>
      <c r="D22" s="346">
        <f t="shared" si="0"/>
        <v>569446.8500000006</v>
      </c>
      <c r="E22" s="347">
        <f t="shared" si="1"/>
        <v>110.86108811749</v>
      </c>
    </row>
    <row r="23" spans="1:5" ht="15.75" thickBot="1">
      <c r="A23" s="180" t="s">
        <v>9</v>
      </c>
      <c r="B23" s="550">
        <f>1a!I150*1000+vynosy!B22</f>
        <v>13151000</v>
      </c>
      <c r="C23" s="189">
        <f>'HV-HC'!R5</f>
        <v>14495338.02</v>
      </c>
      <c r="D23" s="346">
        <f t="shared" si="0"/>
        <v>1344338.0199999996</v>
      </c>
      <c r="E23" s="347">
        <f t="shared" si="1"/>
        <v>110.22232545053608</v>
      </c>
    </row>
    <row r="24" spans="1:5" ht="16.5" thickBot="1">
      <c r="A24" s="129" t="s">
        <v>16</v>
      </c>
      <c r="B24" s="154">
        <f>SUM(B9:B23)</f>
        <v>1600842103</v>
      </c>
      <c r="C24" s="155">
        <f>SUM(C9:C23)</f>
        <v>1581327457.8500001</v>
      </c>
      <c r="D24" s="155">
        <f>SUM(D9:D23)</f>
        <v>-19514645.14999985</v>
      </c>
      <c r="E24" s="126">
        <f>(C24/B24)*100</f>
        <v>98.78097626783871</v>
      </c>
    </row>
  </sheetData>
  <sheetProtection/>
  <printOptions horizontalCentered="1"/>
  <pageMargins left="0.98425196850393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1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4" sqref="J14"/>
    </sheetView>
  </sheetViews>
  <sheetFormatPr defaultColWidth="9.140625" defaultRowHeight="12.75"/>
  <cols>
    <col min="1" max="1" width="19.8515625" style="104" customWidth="1"/>
    <col min="2" max="3" width="14.140625" style="104" bestFit="1" customWidth="1"/>
    <col min="4" max="4" width="12.421875" style="104" customWidth="1"/>
    <col min="5" max="5" width="9.8515625" style="104" customWidth="1"/>
    <col min="6" max="6" width="12.140625" style="104" customWidth="1"/>
    <col min="7" max="7" width="11.7109375" style="104" bestFit="1" customWidth="1"/>
    <col min="8" max="8" width="11.8515625" style="104" customWidth="1"/>
    <col min="9" max="9" width="10.421875" style="104" customWidth="1"/>
    <col min="10" max="10" width="15.00390625" style="104" bestFit="1" customWidth="1"/>
    <col min="11" max="11" width="14.140625" style="104" bestFit="1" customWidth="1"/>
    <col min="12" max="12" width="15.00390625" style="104" bestFit="1" customWidth="1"/>
    <col min="13" max="13" width="10.57421875" style="104" customWidth="1"/>
    <col min="14" max="14" width="16.140625" style="104" bestFit="1" customWidth="1"/>
    <col min="15" max="15" width="14.140625" style="104" bestFit="1" customWidth="1"/>
    <col min="16" max="16" width="15.00390625" style="104" bestFit="1" customWidth="1"/>
    <col min="17" max="17" width="10.7109375" style="104" customWidth="1"/>
    <col min="18" max="16384" width="9.140625" style="104" customWidth="1"/>
  </cols>
  <sheetData>
    <row r="1" ht="12.75">
      <c r="H1" s="25"/>
    </row>
    <row r="2" spans="1:17" ht="15.75">
      <c r="A2" s="105"/>
      <c r="Q2" s="106" t="s">
        <v>186</v>
      </c>
    </row>
    <row r="4" ht="15.75">
      <c r="A4" s="107" t="s">
        <v>403</v>
      </c>
    </row>
    <row r="5" ht="15.75">
      <c r="A5" s="107"/>
    </row>
    <row r="6" spans="1:17" ht="16.5" thickBot="1">
      <c r="A6" s="107"/>
      <c r="E6" s="108"/>
      <c r="H6" s="108"/>
      <c r="Q6" s="109" t="s">
        <v>424</v>
      </c>
    </row>
    <row r="7" spans="1:17" ht="51.75" thickBot="1">
      <c r="A7" s="110"/>
      <c r="B7" s="111" t="s">
        <v>116</v>
      </c>
      <c r="C7" s="166" t="s">
        <v>117</v>
      </c>
      <c r="D7" s="112" t="s">
        <v>660</v>
      </c>
      <c r="E7" s="113" t="s">
        <v>118</v>
      </c>
      <c r="F7" s="111" t="s">
        <v>119</v>
      </c>
      <c r="G7" s="166" t="s">
        <v>117</v>
      </c>
      <c r="H7" s="112" t="s">
        <v>658</v>
      </c>
      <c r="I7" s="113" t="s">
        <v>118</v>
      </c>
      <c r="J7" s="111" t="s">
        <v>120</v>
      </c>
      <c r="K7" s="166" t="s">
        <v>117</v>
      </c>
      <c r="L7" s="112" t="s">
        <v>659</v>
      </c>
      <c r="M7" s="113" t="s">
        <v>118</v>
      </c>
      <c r="N7" s="111" t="s">
        <v>121</v>
      </c>
      <c r="O7" s="112" t="s">
        <v>117</v>
      </c>
      <c r="P7" s="112" t="s">
        <v>658</v>
      </c>
      <c r="Q7" s="113" t="s">
        <v>118</v>
      </c>
    </row>
    <row r="8" spans="1:17" ht="13.5" thickBot="1">
      <c r="A8" s="114"/>
      <c r="B8" s="115" t="s">
        <v>122</v>
      </c>
      <c r="C8" s="167" t="s">
        <v>123</v>
      </c>
      <c r="D8" s="116" t="s">
        <v>124</v>
      </c>
      <c r="E8" s="117" t="s">
        <v>125</v>
      </c>
      <c r="F8" s="360" t="s">
        <v>122</v>
      </c>
      <c r="G8" s="167" t="s">
        <v>123</v>
      </c>
      <c r="H8" s="116" t="s">
        <v>124</v>
      </c>
      <c r="I8" s="117" t="s">
        <v>125</v>
      </c>
      <c r="J8" s="115" t="s">
        <v>122</v>
      </c>
      <c r="K8" s="167" t="s">
        <v>123</v>
      </c>
      <c r="L8" s="116" t="s">
        <v>124</v>
      </c>
      <c r="M8" s="117" t="s">
        <v>125</v>
      </c>
      <c r="N8" s="115" t="s">
        <v>122</v>
      </c>
      <c r="O8" s="116" t="s">
        <v>123</v>
      </c>
      <c r="P8" s="116" t="s">
        <v>124</v>
      </c>
      <c r="Q8" s="117" t="s">
        <v>125</v>
      </c>
    </row>
    <row r="9" spans="1:17" ht="12.75">
      <c r="A9" s="119" t="s">
        <v>418</v>
      </c>
      <c r="B9" s="357">
        <f>(1a!E6+1a!E12)*1000</f>
        <v>4977555</v>
      </c>
      <c r="C9" s="355">
        <f>'HV-HC'!D16+'HV-HC'!D17</f>
        <v>13809161</v>
      </c>
      <c r="D9" s="350">
        <f>C9-B9</f>
        <v>8831606</v>
      </c>
      <c r="E9" s="118">
        <f>(C9/B9)*100</f>
        <v>277.4285969718064</v>
      </c>
      <c r="F9" s="357">
        <f>(1a!F6+1a!F12)*1000</f>
        <v>5700</v>
      </c>
      <c r="G9" s="355">
        <f>'HV-HC'!D18</f>
        <v>56125</v>
      </c>
      <c r="H9" s="350">
        <f aca="true" t="shared" si="0" ref="H9:H23">G9-F9</f>
        <v>50425</v>
      </c>
      <c r="I9" s="118">
        <f>(G9/F9)*100</f>
        <v>984.6491228070174</v>
      </c>
      <c r="J9" s="357">
        <f>(1a!H6+1a!H12)*1000+607000</f>
        <v>1112202.22</v>
      </c>
      <c r="K9" s="355">
        <f>'HV-HC'!D5-'HV-HC'!D15-'HV-HC'!D16-'HV-HC'!D17-'HV-HC'!D18</f>
        <v>12679090.799999997</v>
      </c>
      <c r="L9" s="350">
        <f aca="true" t="shared" si="1" ref="L9:L23">K9-J9</f>
        <v>11566888.579999996</v>
      </c>
      <c r="M9" s="118">
        <f aca="true" t="shared" si="2" ref="M9:M24">(K9/J9)*100</f>
        <v>1139.9986955609563</v>
      </c>
      <c r="N9" s="349">
        <f>B9+F9+J9</f>
        <v>6095457.22</v>
      </c>
      <c r="O9" s="350">
        <f aca="true" t="shared" si="3" ref="O9:O23">C9+G9+K9</f>
        <v>26544376.799999997</v>
      </c>
      <c r="P9" s="350">
        <f aca="true" t="shared" si="4" ref="P9:P23">O9-N9</f>
        <v>20448919.58</v>
      </c>
      <c r="Q9" s="118">
        <f aca="true" t="shared" si="5" ref="Q9:Q24">(O9/N9)*100</f>
        <v>435.47802637190847</v>
      </c>
    </row>
    <row r="10" spans="1:17" ht="12.75">
      <c r="A10" s="119" t="s">
        <v>425</v>
      </c>
      <c r="B10" s="357">
        <f>(1a!E16+1a!E22)*1000</f>
        <v>496417</v>
      </c>
      <c r="C10" s="355">
        <f>'HV-HC'!E16+'HV-HC'!E17</f>
        <v>4797816</v>
      </c>
      <c r="D10" s="350">
        <f aca="true" t="shared" si="6" ref="D10:D15">C10-B10</f>
        <v>4301399</v>
      </c>
      <c r="E10" s="118">
        <f aca="true" t="shared" si="7" ref="E10:E15">(C10/B10)*100</f>
        <v>966.4890606083193</v>
      </c>
      <c r="F10" s="357">
        <f>(1a!F16+1a!F22)*1000</f>
        <v>0</v>
      </c>
      <c r="G10" s="355">
        <f>'HV-HC'!E18</f>
        <v>103581</v>
      </c>
      <c r="H10" s="350">
        <f aca="true" t="shared" si="8" ref="H10:H15">G10-F10</f>
        <v>103581</v>
      </c>
      <c r="I10" s="118"/>
      <c r="J10" s="357">
        <f>(1a!H16+1a!H22)*1000+5000</f>
        <v>2486415.8200000003</v>
      </c>
      <c r="K10" s="355">
        <f>'HV-HC'!D5-'HV-HC'!E15-'HV-HC'!E16-'HV-HC'!E17-'HV-HC'!E18</f>
        <v>46168020.8</v>
      </c>
      <c r="L10" s="350">
        <f aca="true" t="shared" si="9" ref="L10:L15">K10-J10</f>
        <v>43681604.98</v>
      </c>
      <c r="M10" s="118">
        <f aca="true" t="shared" si="10" ref="M10:M15">(K10/J10)*100</f>
        <v>1856.8101292083957</v>
      </c>
      <c r="N10" s="349">
        <f aca="true" t="shared" si="11" ref="N10:N15">B10+F10+J10</f>
        <v>2982832.8200000003</v>
      </c>
      <c r="O10" s="350">
        <f aca="true" t="shared" si="12" ref="O10:O15">C10+G10+K10</f>
        <v>51069417.8</v>
      </c>
      <c r="P10" s="350">
        <f aca="true" t="shared" si="13" ref="P10:P15">O10-N10</f>
        <v>48086584.98</v>
      </c>
      <c r="Q10" s="118">
        <f aca="true" t="shared" si="14" ref="Q10:Q15">(O10/N10)*100</f>
        <v>1712.1113009612118</v>
      </c>
    </row>
    <row r="11" spans="1:17" ht="12.75">
      <c r="A11" s="119" t="s">
        <v>409</v>
      </c>
      <c r="B11" s="357">
        <f>(1a!E26+1a!E32)*1000</f>
        <v>313000</v>
      </c>
      <c r="C11" s="355">
        <f>'HV-HC'!F16+'HV-HC'!F17</f>
        <v>365000.99</v>
      </c>
      <c r="D11" s="350">
        <f t="shared" si="6"/>
        <v>52000.98999999999</v>
      </c>
      <c r="E11" s="118">
        <f t="shared" si="7"/>
        <v>116.61373482428115</v>
      </c>
      <c r="F11" s="357">
        <f>(1a!F26+1a!F32)*1000</f>
        <v>9000</v>
      </c>
      <c r="G11" s="355">
        <f>'HV-HC'!F18</f>
        <v>9874.62</v>
      </c>
      <c r="H11" s="350">
        <f t="shared" si="8"/>
        <v>874.6200000000008</v>
      </c>
      <c r="I11" s="118">
        <f>(G11/F11)*100</f>
        <v>109.718</v>
      </c>
      <c r="J11" s="357">
        <f>(1a!H26+1a!H32)*1000+1109000</f>
        <v>2422000</v>
      </c>
      <c r="K11" s="355">
        <f>'HV-HC'!F5-'HV-HC'!F15-'HV-HC'!F16-'HV-HC'!F17-'HV-HC'!F18</f>
        <v>3980451.8099999996</v>
      </c>
      <c r="L11" s="350">
        <f t="shared" si="9"/>
        <v>1558451.8099999996</v>
      </c>
      <c r="M11" s="118">
        <f t="shared" si="10"/>
        <v>164.34565689512797</v>
      </c>
      <c r="N11" s="349">
        <f t="shared" si="11"/>
        <v>2744000</v>
      </c>
      <c r="O11" s="350">
        <f t="shared" si="12"/>
        <v>4355327.42</v>
      </c>
      <c r="P11" s="350">
        <f t="shared" si="13"/>
        <v>1611327.42</v>
      </c>
      <c r="Q11" s="118">
        <f t="shared" si="14"/>
        <v>158.72184475218657</v>
      </c>
    </row>
    <row r="12" spans="1:17" ht="12.75">
      <c r="A12" s="119" t="s">
        <v>419</v>
      </c>
      <c r="B12" s="357">
        <f>(1a!E36+1a!E42)*1000</f>
        <v>0</v>
      </c>
      <c r="C12" s="355">
        <f>'HV-HC'!G16+'HV-HC'!G17</f>
        <v>417778.36</v>
      </c>
      <c r="D12" s="350">
        <f t="shared" si="6"/>
        <v>417778.36</v>
      </c>
      <c r="E12" s="118"/>
      <c r="F12" s="357">
        <f>(1a!F36+1a!F42)*1000</f>
        <v>0</v>
      </c>
      <c r="G12" s="355">
        <f>'HV-HC'!G18</f>
        <v>33880.14</v>
      </c>
      <c r="H12" s="350">
        <f t="shared" si="8"/>
        <v>33880.14</v>
      </c>
      <c r="I12" s="118"/>
      <c r="J12" s="357">
        <f>(1a!H36+1a!H42)*1000+431000</f>
        <v>2192400</v>
      </c>
      <c r="K12" s="355">
        <f>'HV-HC'!G5-'HV-HC'!G15-'HV-HC'!G16-'HV-HC'!G17-'HV-HC'!G18</f>
        <v>1728902.15</v>
      </c>
      <c r="L12" s="350">
        <f t="shared" si="9"/>
        <v>-463497.8500000001</v>
      </c>
      <c r="M12" s="118">
        <f t="shared" si="10"/>
        <v>78.85888295931399</v>
      </c>
      <c r="N12" s="349">
        <f t="shared" si="11"/>
        <v>2192400</v>
      </c>
      <c r="O12" s="350">
        <f t="shared" si="12"/>
        <v>2180560.65</v>
      </c>
      <c r="P12" s="350">
        <f t="shared" si="13"/>
        <v>-11839.350000000093</v>
      </c>
      <c r="Q12" s="118">
        <f t="shared" si="14"/>
        <v>99.45998221127532</v>
      </c>
    </row>
    <row r="13" spans="1:17" ht="12.75">
      <c r="A13" s="119" t="s">
        <v>5</v>
      </c>
      <c r="B13" s="357">
        <f>(1a!E46+1a!E52)*1000</f>
        <v>12407528</v>
      </c>
      <c r="C13" s="355">
        <f>'HV-HC'!H16+'HV-HC'!H17</f>
        <v>13342838</v>
      </c>
      <c r="D13" s="350">
        <f t="shared" si="6"/>
        <v>935310</v>
      </c>
      <c r="E13" s="118">
        <f t="shared" si="7"/>
        <v>107.53824613573309</v>
      </c>
      <c r="F13" s="357">
        <f>(1a!F46+1a!F52)*1000</f>
        <v>350143</v>
      </c>
      <c r="G13" s="355">
        <f>'HV-HC'!H18</f>
        <v>364762</v>
      </c>
      <c r="H13" s="350">
        <f t="shared" si="8"/>
        <v>14619</v>
      </c>
      <c r="I13" s="118">
        <f aca="true" t="shared" si="15" ref="I13:I18">(G13/F13)*100</f>
        <v>104.17515129532791</v>
      </c>
      <c r="J13" s="357">
        <f>(1a!H46+1a!H52)*1000+14683000</f>
        <v>20059581.03</v>
      </c>
      <c r="K13" s="355">
        <f>'HV-HC'!H5-'HV-HC'!H15-'HV-HC'!H16-'HV-HC'!H17-'HV-HC'!H18</f>
        <v>37925465.55000001</v>
      </c>
      <c r="L13" s="350">
        <f t="shared" si="9"/>
        <v>17865884.52000001</v>
      </c>
      <c r="M13" s="118">
        <f t="shared" si="10"/>
        <v>189.06409607100358</v>
      </c>
      <c r="N13" s="349">
        <f t="shared" si="11"/>
        <v>32817252.03</v>
      </c>
      <c r="O13" s="350">
        <f t="shared" si="12"/>
        <v>51633065.55000001</v>
      </c>
      <c r="P13" s="350">
        <f t="shared" si="13"/>
        <v>18815813.52000001</v>
      </c>
      <c r="Q13" s="118">
        <f t="shared" si="14"/>
        <v>157.33512819050014</v>
      </c>
    </row>
    <row r="14" spans="1:17" ht="12.75">
      <c r="A14" s="119" t="s">
        <v>4</v>
      </c>
      <c r="B14" s="357">
        <f>(1a!E56+1a!E62)*1000</f>
        <v>12650950.46</v>
      </c>
      <c r="C14" s="355">
        <f>'HV-HC'!I16+'HV-HC'!I17</f>
        <v>16664657</v>
      </c>
      <c r="D14" s="350">
        <f t="shared" si="6"/>
        <v>4013706.539999999</v>
      </c>
      <c r="E14" s="118">
        <f t="shared" si="7"/>
        <v>131.7265216766962</v>
      </c>
      <c r="F14" s="357">
        <f>(1a!F56+1a!F62)*1000</f>
        <v>437198.54</v>
      </c>
      <c r="G14" s="355">
        <f>'HV-HC'!I18</f>
        <v>1173588.49</v>
      </c>
      <c r="H14" s="350">
        <f t="shared" si="8"/>
        <v>736389.95</v>
      </c>
      <c r="I14" s="118">
        <f t="shared" si="15"/>
        <v>268.43376238173164</v>
      </c>
      <c r="J14" s="357">
        <f>(1a!H56+1a!H62)*1000+3500000+36250000</f>
        <v>103329597</v>
      </c>
      <c r="K14" s="355">
        <f>'HV-HC'!I5-'HV-HC'!I15-'HV-HC'!I16-'HV-HC'!I17-'HV-HC'!I18</f>
        <v>83819421.58000003</v>
      </c>
      <c r="L14" s="350">
        <f t="shared" si="9"/>
        <v>-19510175.419999972</v>
      </c>
      <c r="M14" s="118">
        <f t="shared" si="10"/>
        <v>81.11850235900951</v>
      </c>
      <c r="N14" s="349">
        <f t="shared" si="11"/>
        <v>116417746</v>
      </c>
      <c r="O14" s="350">
        <f t="shared" si="12"/>
        <v>101657667.07000002</v>
      </c>
      <c r="P14" s="350">
        <f t="shared" si="13"/>
        <v>-14760078.929999977</v>
      </c>
      <c r="Q14" s="118">
        <f t="shared" si="14"/>
        <v>87.32145275343161</v>
      </c>
    </row>
    <row r="15" spans="1:17" ht="12.75">
      <c r="A15" s="119" t="s">
        <v>420</v>
      </c>
      <c r="B15" s="357">
        <f>(1a!E66+1a!E72)*1000</f>
        <v>41266976.08</v>
      </c>
      <c r="C15" s="355">
        <f>'HV-HC'!J16+'HV-HC'!J17</f>
        <v>46479358</v>
      </c>
      <c r="D15" s="350">
        <f t="shared" si="6"/>
        <v>5212381.920000002</v>
      </c>
      <c r="E15" s="118">
        <f t="shared" si="7"/>
        <v>112.63087925292928</v>
      </c>
      <c r="F15" s="357">
        <f>(1a!F66+1a!F72)*1000</f>
        <v>886758</v>
      </c>
      <c r="G15" s="355">
        <f>'HV-HC'!J18</f>
        <v>1929642.76</v>
      </c>
      <c r="H15" s="350">
        <f t="shared" si="8"/>
        <v>1042884.76</v>
      </c>
      <c r="I15" s="118">
        <f t="shared" si="15"/>
        <v>217.6064676044648</v>
      </c>
      <c r="J15" s="357">
        <f>(1a!H66+1a!H72)*1000+2690000+449000+2187000</f>
        <v>167924500.03</v>
      </c>
      <c r="K15" s="355">
        <f>'HV-HC'!J5-'HV-HC'!J15-'HV-HC'!J16-'HV-HC'!J17-'HV-HC'!J18</f>
        <v>150464347.83000004</v>
      </c>
      <c r="L15" s="350">
        <f t="shared" si="9"/>
        <v>-17460152.19999996</v>
      </c>
      <c r="M15" s="118">
        <f t="shared" si="10"/>
        <v>89.60237952360693</v>
      </c>
      <c r="N15" s="349">
        <f t="shared" si="11"/>
        <v>210078234.11</v>
      </c>
      <c r="O15" s="350">
        <f t="shared" si="12"/>
        <v>198873348.59000003</v>
      </c>
      <c r="P15" s="350">
        <f t="shared" si="13"/>
        <v>-11204885.51999998</v>
      </c>
      <c r="Q15" s="118">
        <f t="shared" si="14"/>
        <v>94.66632725304947</v>
      </c>
    </row>
    <row r="16" spans="1:17" ht="12.75">
      <c r="A16" s="119" t="s">
        <v>421</v>
      </c>
      <c r="B16" s="357">
        <f>(1a!E76+1a!E82)*1000</f>
        <v>3253000</v>
      </c>
      <c r="C16" s="355">
        <f>'HV-HC'!K16+'HV-HC'!K17</f>
        <v>3298840</v>
      </c>
      <c r="D16" s="350">
        <f aca="true" t="shared" si="16" ref="D16:D23">C16-B16</f>
        <v>45840</v>
      </c>
      <c r="E16" s="118">
        <f>(C16/B16)*100</f>
        <v>101.40916077466953</v>
      </c>
      <c r="F16" s="357">
        <f>(1a!F76+1a!F82)*1000</f>
        <v>91000</v>
      </c>
      <c r="G16" s="355">
        <f>'HV-HC'!K18</f>
        <v>92030</v>
      </c>
      <c r="H16" s="350">
        <f t="shared" si="0"/>
        <v>1030</v>
      </c>
      <c r="I16" s="118">
        <f t="shared" si="15"/>
        <v>101.13186813186815</v>
      </c>
      <c r="J16" s="357">
        <f>(1a!H76+1a!H82)*1000+1370000</f>
        <v>9478000</v>
      </c>
      <c r="K16" s="355">
        <f>'HV-HC'!K5-'HV-HC'!K15-'HV-HC'!K16-'HV-HC'!K17-'HV-HC'!K18</f>
        <v>6253478.93</v>
      </c>
      <c r="L16" s="350">
        <f t="shared" si="1"/>
        <v>-3224521.0700000003</v>
      </c>
      <c r="M16" s="118">
        <f t="shared" si="2"/>
        <v>65.97888721249208</v>
      </c>
      <c r="N16" s="349">
        <f aca="true" t="shared" si="17" ref="N16:N23">B16+F16+J16</f>
        <v>12822000</v>
      </c>
      <c r="O16" s="350">
        <f t="shared" si="3"/>
        <v>9644348.93</v>
      </c>
      <c r="P16" s="350">
        <f t="shared" si="4"/>
        <v>-3177651.0700000003</v>
      </c>
      <c r="Q16" s="118">
        <f t="shared" si="5"/>
        <v>75.21719645921074</v>
      </c>
    </row>
    <row r="17" spans="1:17" ht="12.75">
      <c r="A17" s="120" t="s">
        <v>6</v>
      </c>
      <c r="B17" s="357">
        <f>(1a!E86+1a!E92)*1000</f>
        <v>8888215.049999999</v>
      </c>
      <c r="C17" s="355">
        <f>'HV-HC'!L16+'HV-HC'!L17</f>
        <v>12372012.21</v>
      </c>
      <c r="D17" s="352">
        <f t="shared" si="16"/>
        <v>3483797.160000002</v>
      </c>
      <c r="E17" s="118">
        <f>(C17/B17)*100</f>
        <v>139.19568935272332</v>
      </c>
      <c r="F17" s="357">
        <f>(1a!F86+1a!F92)*1000</f>
        <v>219239.95</v>
      </c>
      <c r="G17" s="355">
        <f>'HV-HC'!L18</f>
        <v>295600</v>
      </c>
      <c r="H17" s="352">
        <f t="shared" si="0"/>
        <v>76360.04999999999</v>
      </c>
      <c r="I17" s="118">
        <f t="shared" si="15"/>
        <v>134.8294414407593</v>
      </c>
      <c r="J17" s="357">
        <f>(1a!H86+1a!H92)*1000+3473000+700000+6859000</f>
        <v>48051560</v>
      </c>
      <c r="K17" s="355">
        <f>'HV-HC'!L5-'HV-HC'!L15-'HV-HC'!L16-'HV-HC'!L17-'HV-HC'!L18</f>
        <v>75825231.73999998</v>
      </c>
      <c r="L17" s="352">
        <f t="shared" si="1"/>
        <v>27773671.73999998</v>
      </c>
      <c r="M17" s="118">
        <f t="shared" si="2"/>
        <v>157.7997295821405</v>
      </c>
      <c r="N17" s="351">
        <f t="shared" si="17"/>
        <v>57159015</v>
      </c>
      <c r="O17" s="352">
        <f t="shared" si="3"/>
        <v>88492843.94999999</v>
      </c>
      <c r="P17" s="352">
        <f t="shared" si="4"/>
        <v>31333828.949999988</v>
      </c>
      <c r="Q17" s="118">
        <f t="shared" si="5"/>
        <v>154.8186999898441</v>
      </c>
    </row>
    <row r="18" spans="1:17" ht="12.75">
      <c r="A18" s="121" t="s">
        <v>190</v>
      </c>
      <c r="B18" s="357">
        <f>(1a!E96+1a!E102)*1000</f>
        <v>13402000</v>
      </c>
      <c r="C18" s="355">
        <f>'HV-HC'!M16+'HV-HC'!M17</f>
        <v>13542396</v>
      </c>
      <c r="D18" s="352">
        <f t="shared" si="16"/>
        <v>140396</v>
      </c>
      <c r="E18" s="118">
        <f>(C18/B18)*100</f>
        <v>101.04757498880763</v>
      </c>
      <c r="F18" s="357">
        <f>(1a!F96+1a!F102)*1000</f>
        <v>385000</v>
      </c>
      <c r="G18" s="355">
        <f>'HV-HC'!M18</f>
        <v>1165707.5</v>
      </c>
      <c r="H18" s="352">
        <f t="shared" si="0"/>
        <v>780707.5</v>
      </c>
      <c r="I18" s="118">
        <f t="shared" si="15"/>
        <v>302.7811688311688</v>
      </c>
      <c r="J18" s="357">
        <f>(1a!H96+1a!H102)*1000+15150000</f>
        <v>302938293</v>
      </c>
      <c r="K18" s="355">
        <f>'HV-HC'!M5-'HV-HC'!M15-'HV-HC'!M16-'HV-HC'!M17-'HV-HC'!M18</f>
        <v>159185118.32</v>
      </c>
      <c r="L18" s="352">
        <f t="shared" si="1"/>
        <v>-143753174.68</v>
      </c>
      <c r="M18" s="118">
        <f t="shared" si="2"/>
        <v>52.54704406748605</v>
      </c>
      <c r="N18" s="351">
        <f t="shared" si="17"/>
        <v>316725293</v>
      </c>
      <c r="O18" s="352">
        <f t="shared" si="3"/>
        <v>173893221.82</v>
      </c>
      <c r="P18" s="352">
        <f t="shared" si="4"/>
        <v>-142832071.18</v>
      </c>
      <c r="Q18" s="118">
        <f t="shared" si="5"/>
        <v>54.90348439586099</v>
      </c>
    </row>
    <row r="19" spans="1:17" ht="12.75">
      <c r="A19" s="122" t="s">
        <v>7</v>
      </c>
      <c r="B19" s="357">
        <f>(1a!E106+1a!E112)*1000</f>
        <v>0</v>
      </c>
      <c r="C19" s="355">
        <f>'HV-HC'!N16+'HV-HC'!N17</f>
        <v>0</v>
      </c>
      <c r="D19" s="352">
        <f t="shared" si="16"/>
        <v>0</v>
      </c>
      <c r="E19" s="118"/>
      <c r="F19" s="357">
        <f>(1a!F106+1a!F112)*1000</f>
        <v>0</v>
      </c>
      <c r="G19" s="355">
        <f>'HV-HC'!N18</f>
        <v>0</v>
      </c>
      <c r="H19" s="352">
        <f t="shared" si="0"/>
        <v>0</v>
      </c>
      <c r="I19" s="118"/>
      <c r="J19" s="357">
        <f>(1a!H106+1a!H112)*1000+270000</f>
        <v>12530000</v>
      </c>
      <c r="K19" s="355">
        <f>'HV-HC'!N5-'HV-HC'!N15-'HV-HC'!N16-'HV-HC'!N17-'HV-HC'!N18</f>
        <v>12726774.7</v>
      </c>
      <c r="L19" s="352">
        <f t="shared" si="1"/>
        <v>196774.69999999925</v>
      </c>
      <c r="M19" s="118">
        <f t="shared" si="2"/>
        <v>101.57042857142858</v>
      </c>
      <c r="N19" s="351">
        <f t="shared" si="17"/>
        <v>12530000</v>
      </c>
      <c r="O19" s="352">
        <f t="shared" si="3"/>
        <v>12726774.7</v>
      </c>
      <c r="P19" s="352">
        <f t="shared" si="4"/>
        <v>196774.69999999925</v>
      </c>
      <c r="Q19" s="118">
        <f t="shared" si="5"/>
        <v>101.57042857142858</v>
      </c>
    </row>
    <row r="20" spans="1:17" ht="12.75">
      <c r="A20" s="122" t="s">
        <v>422</v>
      </c>
      <c r="B20" s="357">
        <f>(1a!E116+1a!E122)*1000</f>
        <v>13215676.91</v>
      </c>
      <c r="C20" s="355">
        <f>'HV-HC'!O16+'HV-HC'!O17</f>
        <v>17610699</v>
      </c>
      <c r="D20" s="352">
        <f t="shared" si="16"/>
        <v>4395022.09</v>
      </c>
      <c r="E20" s="118">
        <f>(C20/B20)*100</f>
        <v>133.2561254329272</v>
      </c>
      <c r="F20" s="357">
        <f>(1a!F116+1a!F122)*1000</f>
        <v>330272.46</v>
      </c>
      <c r="G20" s="355">
        <f>'HV-HC'!O18</f>
        <v>349141</v>
      </c>
      <c r="H20" s="352">
        <f t="shared" si="0"/>
        <v>18868.53999999998</v>
      </c>
      <c r="I20" s="118">
        <f>(G20/F20)*100</f>
        <v>105.7130225148049</v>
      </c>
      <c r="J20" s="357">
        <f>(1a!H116+1a!H122)*1000+18298000+2000000</f>
        <v>43298028.27</v>
      </c>
      <c r="K20" s="355">
        <f>'HV-HC'!O5-'HV-HC'!O15-'HV-HC'!O16-'HV-HC'!O17-'HV-HC'!O18</f>
        <v>43993925.17</v>
      </c>
      <c r="L20" s="352">
        <f t="shared" si="1"/>
        <v>695896.8999999985</v>
      </c>
      <c r="M20" s="118">
        <f t="shared" si="2"/>
        <v>101.60722538139726</v>
      </c>
      <c r="N20" s="351">
        <f t="shared" si="17"/>
        <v>56843977.64</v>
      </c>
      <c r="O20" s="352">
        <f t="shared" si="3"/>
        <v>61953765.17</v>
      </c>
      <c r="P20" s="352">
        <f t="shared" si="4"/>
        <v>5109787.530000001</v>
      </c>
      <c r="Q20" s="118">
        <f t="shared" si="5"/>
        <v>108.98914492289917</v>
      </c>
    </row>
    <row r="21" spans="1:17" ht="12.75">
      <c r="A21" s="122" t="s">
        <v>191</v>
      </c>
      <c r="B21" s="357">
        <f>(1a!E126+1a!E132)*1000</f>
        <v>19353736.779999997</v>
      </c>
      <c r="C21" s="355">
        <f>'HV-HC'!P16+'HV-HC'!P17</f>
        <v>20369301</v>
      </c>
      <c r="D21" s="352">
        <f t="shared" si="16"/>
        <v>1015564.2200000025</v>
      </c>
      <c r="E21" s="118">
        <f>(C21/B21)*100</f>
        <v>105.24738055262526</v>
      </c>
      <c r="F21" s="357">
        <f>(1a!F126+1a!F132)*1000</f>
        <v>335052.47000000003</v>
      </c>
      <c r="G21" s="355">
        <f>'HV-HC'!P18</f>
        <v>406703</v>
      </c>
      <c r="H21" s="352">
        <f t="shared" si="0"/>
        <v>71650.52999999997</v>
      </c>
      <c r="I21" s="118">
        <f>(G21/F21)*100</f>
        <v>121.38486846552719</v>
      </c>
      <c r="J21" s="357">
        <f>(1a!H126+1a!H132)*1000</f>
        <v>194753107.00000003</v>
      </c>
      <c r="K21" s="355">
        <f>'HV-HC'!P5-'HV-HC'!P15-'HV-HC'!P16-'HV-HC'!P17-'HV-HC'!P18</f>
        <v>176114639.07000005</v>
      </c>
      <c r="L21" s="352">
        <f t="shared" si="1"/>
        <v>-18638467.929999977</v>
      </c>
      <c r="M21" s="118">
        <f>(K21/J21)*100</f>
        <v>90.42969418197782</v>
      </c>
      <c r="N21" s="351">
        <f>B21+F21+J21</f>
        <v>214441896.25000003</v>
      </c>
      <c r="O21" s="352">
        <f>C21+G21+K21</f>
        <v>196890643.07000005</v>
      </c>
      <c r="P21" s="352">
        <f t="shared" si="4"/>
        <v>-17551253.179999977</v>
      </c>
      <c r="Q21" s="118">
        <f>(O21/N21)*100</f>
        <v>91.81538053574269</v>
      </c>
    </row>
    <row r="22" spans="1:17" ht="12.75">
      <c r="A22" s="122" t="s">
        <v>8</v>
      </c>
      <c r="B22" s="357">
        <f>(1a!E136+1a!E142)*1000</f>
        <v>704000</v>
      </c>
      <c r="C22" s="355">
        <f>'HV-HC'!Q16+'HV-HC'!Q17</f>
        <v>691805</v>
      </c>
      <c r="D22" s="352">
        <f t="shared" si="16"/>
        <v>-12195</v>
      </c>
      <c r="E22" s="118">
        <f>(C22/B22)*100</f>
        <v>98.26775568181819</v>
      </c>
      <c r="F22" s="357">
        <f>(1a!F136+1a!F142)*1000</f>
        <v>13000</v>
      </c>
      <c r="G22" s="355">
        <f>'HV-HC'!Q18</f>
        <v>41879.65</v>
      </c>
      <c r="H22" s="352">
        <f t="shared" si="0"/>
        <v>28879.65</v>
      </c>
      <c r="I22" s="118">
        <f>(G22/F22)*100</f>
        <v>322.1511538461539</v>
      </c>
      <c r="J22" s="357">
        <f>(1a!H136+1a!H142)*1000+760000</f>
        <v>2244000</v>
      </c>
      <c r="K22" s="355">
        <f>'HV-HC'!Q5-'HV-HC'!Q15-'HV-HC'!Q16-'HV-HC'!Q17-'HV-HC'!Q18</f>
        <v>2355543.2000000007</v>
      </c>
      <c r="L22" s="352">
        <f t="shared" si="1"/>
        <v>111543.20000000065</v>
      </c>
      <c r="M22" s="118">
        <f t="shared" si="2"/>
        <v>104.97073083778969</v>
      </c>
      <c r="N22" s="351">
        <f t="shared" si="17"/>
        <v>2961000</v>
      </c>
      <c r="O22" s="352">
        <f t="shared" si="3"/>
        <v>3089227.8500000006</v>
      </c>
      <c r="P22" s="352">
        <f t="shared" si="4"/>
        <v>128227.85000000056</v>
      </c>
      <c r="Q22" s="118">
        <f t="shared" si="5"/>
        <v>104.330558932793</v>
      </c>
    </row>
    <row r="23" spans="1:17" ht="13.5" thickBot="1">
      <c r="A23" s="123" t="s">
        <v>9</v>
      </c>
      <c r="B23" s="358">
        <f>(1a!E146+1a!E152)*1000</f>
        <v>827000</v>
      </c>
      <c r="C23" s="356">
        <f>'HV-HC'!R16+'HV-HC'!R17</f>
        <v>812600</v>
      </c>
      <c r="D23" s="354">
        <f t="shared" si="16"/>
        <v>-14400</v>
      </c>
      <c r="E23" s="124">
        <f>(C23/B23)*100</f>
        <v>98.25876662636034</v>
      </c>
      <c r="F23" s="358">
        <f>(1a!F146+1a!F152)*1000</f>
        <v>24000</v>
      </c>
      <c r="G23" s="356">
        <f>'HV-HC'!R18</f>
        <v>23900</v>
      </c>
      <c r="H23" s="354">
        <f t="shared" si="0"/>
        <v>-100</v>
      </c>
      <c r="I23" s="124">
        <f>(G23/F23)*100</f>
        <v>99.58333333333333</v>
      </c>
      <c r="J23" s="358">
        <f>(1a!H146+1a!H152)*1000+600000</f>
        <v>9527000</v>
      </c>
      <c r="K23" s="356">
        <f>'HV-HC'!R5-'HV-HC'!R15-'HV-HC'!R16-'HV-HC'!R17-'HV-HC'!R18</f>
        <v>10885908.02</v>
      </c>
      <c r="L23" s="354">
        <f t="shared" si="1"/>
        <v>1358908.0199999996</v>
      </c>
      <c r="M23" s="124">
        <f t="shared" si="2"/>
        <v>114.26375585178965</v>
      </c>
      <c r="N23" s="353">
        <f t="shared" si="17"/>
        <v>10378000</v>
      </c>
      <c r="O23" s="354">
        <f t="shared" si="3"/>
        <v>11722408.02</v>
      </c>
      <c r="P23" s="354">
        <f t="shared" si="4"/>
        <v>1344408.0199999996</v>
      </c>
      <c r="Q23" s="124">
        <f t="shared" si="5"/>
        <v>112.95440373867798</v>
      </c>
    </row>
    <row r="24" spans="1:17" ht="16.5" thickBot="1">
      <c r="A24" s="125" t="s">
        <v>126</v>
      </c>
      <c r="B24" s="154">
        <f>SUM(B9:B23)</f>
        <v>131756055.27999999</v>
      </c>
      <c r="C24" s="359">
        <f>SUM(C9:C23)</f>
        <v>164574262.56</v>
      </c>
      <c r="D24" s="155">
        <f>SUM(D9:D23)</f>
        <v>32818207.28000001</v>
      </c>
      <c r="E24" s="126">
        <f>(C24/B24)*100</f>
        <v>124.90831044558578</v>
      </c>
      <c r="F24" s="154">
        <f>SUM(F9:F23)</f>
        <v>3086364.4200000004</v>
      </c>
      <c r="G24" s="359">
        <f>SUM(G9:G23)</f>
        <v>6046415.16</v>
      </c>
      <c r="H24" s="155">
        <f>SUM(H9:H23)+0.5</f>
        <v>2960051.2399999998</v>
      </c>
      <c r="I24" s="126">
        <f>(G24/F24)*100</f>
        <v>195.90736339553834</v>
      </c>
      <c r="J24" s="154">
        <f>SUM(J9:J23)</f>
        <v>922346684.37</v>
      </c>
      <c r="K24" s="359">
        <f>SUM(K9:K23)</f>
        <v>824106319.6700001</v>
      </c>
      <c r="L24" s="155">
        <f>SUM(L9:L23)</f>
        <v>-98240364.69999993</v>
      </c>
      <c r="M24" s="126">
        <f t="shared" si="2"/>
        <v>89.3488677994108</v>
      </c>
      <c r="N24" s="154">
        <f>SUM(N9:N23)</f>
        <v>1057189104.07</v>
      </c>
      <c r="O24" s="155">
        <f>SUM(O9:O23)</f>
        <v>994726997.3900002</v>
      </c>
      <c r="P24" s="155">
        <f>SUM(P9:P23)</f>
        <v>-62462106.67999993</v>
      </c>
      <c r="Q24" s="126">
        <f t="shared" si="5"/>
        <v>94.09168081287149</v>
      </c>
    </row>
    <row r="26" ht="12.75">
      <c r="J26" s="549"/>
    </row>
    <row r="31" ht="12.75">
      <c r="F31" s="109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6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5" sqref="A25:J25"/>
    </sheetView>
  </sheetViews>
  <sheetFormatPr defaultColWidth="9.140625" defaultRowHeight="12.75"/>
  <cols>
    <col min="1" max="1" width="15.140625" style="0" customWidth="1"/>
    <col min="2" max="2" width="11.28125" style="0" bestFit="1" customWidth="1"/>
    <col min="3" max="3" width="11.28125" style="0" customWidth="1"/>
    <col min="4" max="5" width="10.8515625" style="0" bestFit="1" customWidth="1"/>
    <col min="6" max="6" width="11.28125" style="0" customWidth="1"/>
    <col min="7" max="7" width="11.28125" style="0" bestFit="1" customWidth="1"/>
    <col min="8" max="8" width="11.28125" style="0" customWidth="1"/>
    <col min="9" max="10" width="11.28125" style="0" bestFit="1" customWidth="1"/>
  </cols>
  <sheetData>
    <row r="1" ht="15.75">
      <c r="J1" s="2" t="s">
        <v>187</v>
      </c>
    </row>
    <row r="2" spans="1:5" ht="15.75">
      <c r="A2" s="130" t="s">
        <v>404</v>
      </c>
      <c r="B2" s="561"/>
      <c r="C2" s="561"/>
      <c r="D2" s="561"/>
      <c r="E2" s="561"/>
    </row>
    <row r="3" ht="12.75">
      <c r="A3" s="81"/>
    </row>
    <row r="4" ht="12.75">
      <c r="A4" s="81"/>
    </row>
    <row r="5" ht="13.5" thickBot="1">
      <c r="I5" s="265" t="s">
        <v>423</v>
      </c>
    </row>
    <row r="6" spans="1:10" ht="12.75" customHeight="1">
      <c r="A6" s="582" t="s">
        <v>103</v>
      </c>
      <c r="B6" s="577" t="s">
        <v>394</v>
      </c>
      <c r="C6" s="577"/>
      <c r="D6" s="578"/>
      <c r="E6" s="574" t="s">
        <v>203</v>
      </c>
      <c r="F6" s="579" t="s">
        <v>293</v>
      </c>
      <c r="G6" s="576" t="s">
        <v>112</v>
      </c>
      <c r="H6" s="577"/>
      <c r="I6" s="578"/>
      <c r="J6" s="574" t="s">
        <v>203</v>
      </c>
    </row>
    <row r="7" spans="1:10" ht="43.5" customHeight="1" thickBot="1">
      <c r="A7" s="583"/>
      <c r="B7" s="90" t="s">
        <v>113</v>
      </c>
      <c r="C7" s="553" t="s">
        <v>661</v>
      </c>
      <c r="D7" s="91" t="s">
        <v>114</v>
      </c>
      <c r="E7" s="575"/>
      <c r="F7" s="580"/>
      <c r="G7" s="92" t="s">
        <v>113</v>
      </c>
      <c r="H7" s="553" t="s">
        <v>661</v>
      </c>
      <c r="I7" s="91" t="s">
        <v>114</v>
      </c>
      <c r="J7" s="575"/>
    </row>
    <row r="8" spans="1:11" ht="12.75">
      <c r="A8" s="533" t="s">
        <v>418</v>
      </c>
      <c r="B8" s="534">
        <f>UR12!M11*1000</f>
        <v>607000</v>
      </c>
      <c r="C8" s="534">
        <f>B8</f>
        <v>607000</v>
      </c>
      <c r="D8" s="534">
        <f>'HV-HC'!D47-'HV-HC'!D68+'HV-HC'!D70</f>
        <v>2376751.9400000023</v>
      </c>
      <c r="E8" s="535">
        <f aca="true" t="shared" si="0" ref="E8:E13">D8-C8</f>
        <v>1769751.9400000023</v>
      </c>
      <c r="F8" s="536">
        <f>'HV-HC'!D68</f>
        <v>33589415.92</v>
      </c>
      <c r="G8" s="537">
        <f>B8</f>
        <v>607000</v>
      </c>
      <c r="H8" s="534">
        <f>G8</f>
        <v>607000</v>
      </c>
      <c r="I8" s="538">
        <f>SUM(D8+F8)</f>
        <v>35966167.86000001</v>
      </c>
      <c r="J8" s="539">
        <f aca="true" t="shared" si="1" ref="J8:J22">I8-H8</f>
        <v>35359167.86000001</v>
      </c>
      <c r="K8" s="94"/>
    </row>
    <row r="9" spans="1:11" ht="12.75">
      <c r="A9" s="533" t="s">
        <v>425</v>
      </c>
      <c r="B9" s="534">
        <f>UR12!M17*1000</f>
        <v>5000</v>
      </c>
      <c r="C9" s="534">
        <f>B9</f>
        <v>5000</v>
      </c>
      <c r="D9" s="534">
        <f>'HV-HC'!E47-'HV-HC'!E68+'HV-HC'!E70</f>
        <v>9126.81</v>
      </c>
      <c r="E9" s="535">
        <f t="shared" si="0"/>
        <v>4126.8099999999995</v>
      </c>
      <c r="F9" s="536">
        <f>'HV-HC'!E68</f>
        <v>9547274.47</v>
      </c>
      <c r="G9" s="537">
        <f aca="true" t="shared" si="2" ref="G9:G17">B9</f>
        <v>5000</v>
      </c>
      <c r="H9" s="534">
        <f>G9</f>
        <v>5000</v>
      </c>
      <c r="I9" s="538">
        <f aca="true" t="shared" si="3" ref="I9:I17">SUM(D9+F9)</f>
        <v>9556401.280000001</v>
      </c>
      <c r="J9" s="539">
        <f t="shared" si="1"/>
        <v>9551401.280000001</v>
      </c>
      <c r="K9" s="94"/>
    </row>
    <row r="10" spans="1:11" ht="12.75">
      <c r="A10" s="533" t="s">
        <v>409</v>
      </c>
      <c r="B10" s="534">
        <f>UR12!M20*1000</f>
        <v>1109000</v>
      </c>
      <c r="C10" s="534">
        <f>B10</f>
        <v>1109000</v>
      </c>
      <c r="D10" s="534">
        <f>'HV-HC'!F47-'HV-HC'!F68+'HV-HC'!F70</f>
        <v>1179321.4200000004</v>
      </c>
      <c r="E10" s="535">
        <f t="shared" si="0"/>
        <v>70321.42000000039</v>
      </c>
      <c r="F10" s="536">
        <f>'HV-HC'!F68</f>
        <v>1959316</v>
      </c>
      <c r="G10" s="537">
        <f t="shared" si="2"/>
        <v>1109000</v>
      </c>
      <c r="H10" s="534">
        <f>G10</f>
        <v>1109000</v>
      </c>
      <c r="I10" s="538">
        <f t="shared" si="3"/>
        <v>3138637.4200000004</v>
      </c>
      <c r="J10" s="539">
        <f t="shared" si="1"/>
        <v>2029637.4200000004</v>
      </c>
      <c r="K10" s="94"/>
    </row>
    <row r="11" spans="1:11" ht="12.75">
      <c r="A11" s="533" t="s">
        <v>419</v>
      </c>
      <c r="B11" s="534">
        <f>UR12!M23*1000</f>
        <v>431000</v>
      </c>
      <c r="C11" s="534">
        <f>B11</f>
        <v>431000</v>
      </c>
      <c r="D11" s="534">
        <f>'HV-HC'!G47-'HV-HC'!G68+'HV-HC'!G70</f>
        <v>585250.71</v>
      </c>
      <c r="E11" s="535">
        <f t="shared" si="0"/>
        <v>154250.70999999996</v>
      </c>
      <c r="F11" s="536">
        <f>'HV-HC'!G68</f>
        <v>400618.08</v>
      </c>
      <c r="G11" s="537">
        <f t="shared" si="2"/>
        <v>431000</v>
      </c>
      <c r="H11" s="534">
        <f>G11</f>
        <v>431000</v>
      </c>
      <c r="I11" s="538">
        <f t="shared" si="3"/>
        <v>985868.79</v>
      </c>
      <c r="J11" s="539">
        <f t="shared" si="1"/>
        <v>554868.79</v>
      </c>
      <c r="K11" s="94"/>
    </row>
    <row r="12" spans="1:11" ht="12.75">
      <c r="A12" s="533" t="s">
        <v>5</v>
      </c>
      <c r="B12" s="534">
        <f>UR12!M32*1000</f>
        <v>14683000</v>
      </c>
      <c r="C12" s="534">
        <f>B12</f>
        <v>14683000</v>
      </c>
      <c r="D12" s="534">
        <f>'HV-HC'!H47-'HV-HC'!H68+'HV-HC'!H70</f>
        <v>13816322.240000002</v>
      </c>
      <c r="E12" s="535">
        <f t="shared" si="0"/>
        <v>-866677.7599999979</v>
      </c>
      <c r="F12" s="536">
        <f>'HV-HC'!H68</f>
        <v>12709894.97</v>
      </c>
      <c r="G12" s="537">
        <f t="shared" si="2"/>
        <v>14683000</v>
      </c>
      <c r="H12" s="534">
        <f>G12</f>
        <v>14683000</v>
      </c>
      <c r="I12" s="538">
        <f t="shared" si="3"/>
        <v>26526217.21</v>
      </c>
      <c r="J12" s="539">
        <f t="shared" si="1"/>
        <v>11843217.21</v>
      </c>
      <c r="K12" s="94"/>
    </row>
    <row r="13" spans="1:11" ht="12.75">
      <c r="A13" s="95" t="s">
        <v>4</v>
      </c>
      <c r="B13" s="85">
        <f>UR12!M45*1000</f>
        <v>39750000</v>
      </c>
      <c r="C13" s="85">
        <f>B13-36250000</f>
        <v>3500000</v>
      </c>
      <c r="D13" s="348">
        <f>'HV-HC'!I47-'HV-HC'!I68+'HV-HC'!I70</f>
        <v>7034188.4</v>
      </c>
      <c r="E13" s="97">
        <f t="shared" si="0"/>
        <v>3534188.4000000004</v>
      </c>
      <c r="F13" s="98">
        <f>'HV-HC'!I68</f>
        <v>330489</v>
      </c>
      <c r="G13" s="100">
        <f t="shared" si="2"/>
        <v>39750000</v>
      </c>
      <c r="H13" s="85">
        <f>G13-36250000</f>
        <v>3500000</v>
      </c>
      <c r="I13" s="93">
        <f t="shared" si="3"/>
        <v>7364677.4</v>
      </c>
      <c r="J13" s="99">
        <f t="shared" si="1"/>
        <v>3864677.4000000004</v>
      </c>
      <c r="K13" s="94"/>
    </row>
    <row r="14" spans="1:11" ht="12.75">
      <c r="A14" s="95" t="s">
        <v>420</v>
      </c>
      <c r="B14" s="85">
        <f>UR12!M54*1000</f>
        <v>5326000</v>
      </c>
      <c r="C14" s="85">
        <f>B14</f>
        <v>5326000</v>
      </c>
      <c r="D14" s="348">
        <f>'HV-HC'!J47-'HV-HC'!J68+'HV-HC'!J70</f>
        <v>8494064.38</v>
      </c>
      <c r="E14" s="97">
        <f aca="true" t="shared" si="4" ref="E14:E22">D14-C14</f>
        <v>3168064.380000001</v>
      </c>
      <c r="F14" s="98">
        <f>'HV-HC'!J68</f>
        <v>5752691.35</v>
      </c>
      <c r="G14" s="100">
        <f t="shared" si="2"/>
        <v>5326000</v>
      </c>
      <c r="H14" s="85">
        <f>G14</f>
        <v>5326000</v>
      </c>
      <c r="I14" s="93">
        <f t="shared" si="3"/>
        <v>14246755.73</v>
      </c>
      <c r="J14" s="99">
        <f t="shared" si="1"/>
        <v>8920755.73</v>
      </c>
      <c r="K14" s="94"/>
    </row>
    <row r="15" spans="1:11" ht="12.75">
      <c r="A15" s="95" t="s">
        <v>421</v>
      </c>
      <c r="B15" s="85">
        <f>UR12!M58*1000</f>
        <v>1370000</v>
      </c>
      <c r="C15" s="85">
        <f>B15</f>
        <v>1370000</v>
      </c>
      <c r="D15" s="348">
        <f>'HV-HC'!K47-'HV-HC'!K68+'HV-HC'!K70</f>
        <v>1362281.96</v>
      </c>
      <c r="E15" s="97">
        <f t="shared" si="4"/>
        <v>-7718.040000000037</v>
      </c>
      <c r="F15" s="98">
        <f>'HV-HC'!K68</f>
        <v>0</v>
      </c>
      <c r="G15" s="100">
        <f t="shared" si="2"/>
        <v>1370000</v>
      </c>
      <c r="H15" s="85">
        <f>G15</f>
        <v>1370000</v>
      </c>
      <c r="I15" s="93">
        <f t="shared" si="3"/>
        <v>1362281.96</v>
      </c>
      <c r="J15" s="99">
        <f t="shared" si="1"/>
        <v>-7718.040000000037</v>
      </c>
      <c r="K15" s="94"/>
    </row>
    <row r="16" spans="1:11" ht="12.75">
      <c r="A16" s="95" t="s">
        <v>6</v>
      </c>
      <c r="B16" s="85">
        <f>UR12!M70*1000</f>
        <v>11032000</v>
      </c>
      <c r="C16" s="85">
        <f>B16-6859000</f>
        <v>4173000</v>
      </c>
      <c r="D16" s="348">
        <f>'HV-HC'!L47-'HV-HC'!L68+'HV-HC'!L70</f>
        <v>3678160.650000004</v>
      </c>
      <c r="E16" s="97">
        <f t="shared" si="4"/>
        <v>-494839.3499999959</v>
      </c>
      <c r="F16" s="98">
        <f>'HV-HC'!L68</f>
        <v>47573006.35</v>
      </c>
      <c r="G16" s="100">
        <f t="shared" si="2"/>
        <v>11032000</v>
      </c>
      <c r="H16" s="85">
        <f>G16-6859000</f>
        <v>4173000</v>
      </c>
      <c r="I16" s="93">
        <f t="shared" si="3"/>
        <v>51251167.00000001</v>
      </c>
      <c r="J16" s="99">
        <f t="shared" si="1"/>
        <v>47078167.00000001</v>
      </c>
      <c r="K16" s="94"/>
    </row>
    <row r="17" spans="1:11" s="127" customFormat="1" ht="12.75">
      <c r="A17" s="185" t="s">
        <v>190</v>
      </c>
      <c r="B17" s="85">
        <f>UR12!M82*1000</f>
        <v>15150000</v>
      </c>
      <c r="C17" s="85">
        <f aca="true" t="shared" si="5" ref="C17:C22">B17</f>
        <v>15150000</v>
      </c>
      <c r="D17" s="348">
        <f>'HV-HC'!M47-'HV-HC'!M68+'HV-HC'!M70</f>
        <v>15086997</v>
      </c>
      <c r="E17" s="97">
        <f t="shared" si="4"/>
        <v>-63003</v>
      </c>
      <c r="F17" s="98">
        <f>'HV-HC'!M68</f>
        <v>377340.11</v>
      </c>
      <c r="G17" s="100">
        <f t="shared" si="2"/>
        <v>15150000</v>
      </c>
      <c r="H17" s="85">
        <f aca="true" t="shared" si="6" ref="H17:H22">G17</f>
        <v>15150000</v>
      </c>
      <c r="I17" s="93">
        <f t="shared" si="3"/>
        <v>15464337.11</v>
      </c>
      <c r="J17" s="99">
        <f t="shared" si="1"/>
        <v>314337.1099999994</v>
      </c>
      <c r="K17" s="184"/>
    </row>
    <row r="18" spans="1:11" ht="12.75">
      <c r="A18" s="95" t="s">
        <v>7</v>
      </c>
      <c r="B18" s="86">
        <f>UR12!M85*1000</f>
        <v>270000</v>
      </c>
      <c r="C18" s="86">
        <f t="shared" si="5"/>
        <v>270000</v>
      </c>
      <c r="D18" s="348">
        <f>'HV-HC'!N47-'HV-HC'!N68+'HV-HC'!N70</f>
        <v>467977.94</v>
      </c>
      <c r="E18" s="97">
        <f t="shared" si="4"/>
        <v>197977.94</v>
      </c>
      <c r="F18" s="83">
        <f>'HV-HC'!N68</f>
        <v>0</v>
      </c>
      <c r="G18" s="100">
        <f>B18</f>
        <v>270000</v>
      </c>
      <c r="H18" s="86">
        <f t="shared" si="6"/>
        <v>270000</v>
      </c>
      <c r="I18" s="93">
        <f>SUM(D18+F18)</f>
        <v>467977.94</v>
      </c>
      <c r="J18" s="99">
        <f t="shared" si="1"/>
        <v>197977.94</v>
      </c>
      <c r="K18" s="94"/>
    </row>
    <row r="19" spans="1:11" ht="12.75">
      <c r="A19" s="95" t="s">
        <v>422</v>
      </c>
      <c r="B19" s="86">
        <f>UR12!M90*1000</f>
        <v>20298000</v>
      </c>
      <c r="C19" s="86">
        <f t="shared" si="5"/>
        <v>20298000</v>
      </c>
      <c r="D19" s="348">
        <f>'HV-HC'!O47-'HV-HC'!O68+'HV-HC'!O70</f>
        <v>19028750.75</v>
      </c>
      <c r="E19" s="97">
        <f t="shared" si="4"/>
        <v>-1269249.25</v>
      </c>
      <c r="F19" s="83">
        <f>'HV-HC'!O68</f>
        <v>7630816.47</v>
      </c>
      <c r="G19" s="100">
        <f>B19</f>
        <v>20298000</v>
      </c>
      <c r="H19" s="86">
        <f t="shared" si="6"/>
        <v>20298000</v>
      </c>
      <c r="I19" s="93">
        <f>SUM(D19+F19)</f>
        <v>26659567.22</v>
      </c>
      <c r="J19" s="99">
        <f t="shared" si="1"/>
        <v>6361567.219999999</v>
      </c>
      <c r="K19" s="94"/>
    </row>
    <row r="20" spans="1:11" ht="12.75">
      <c r="A20" s="95" t="s">
        <v>191</v>
      </c>
      <c r="B20" s="85">
        <f>UR12!M96*1000</f>
        <v>0</v>
      </c>
      <c r="C20" s="85">
        <f t="shared" si="5"/>
        <v>0</v>
      </c>
      <c r="D20" s="348">
        <f>'HV-HC'!P47-'HV-HC'!P68+'HV-HC'!P70</f>
        <v>156442.49000000005</v>
      </c>
      <c r="E20" s="97">
        <f t="shared" si="4"/>
        <v>156442.49000000005</v>
      </c>
      <c r="F20" s="83">
        <f>'HV-HC'!P68</f>
        <v>631313</v>
      </c>
      <c r="G20" s="100">
        <f>B20</f>
        <v>0</v>
      </c>
      <c r="H20" s="85">
        <f t="shared" si="6"/>
        <v>0</v>
      </c>
      <c r="I20" s="93">
        <f>SUM(D20+F20)</f>
        <v>787755.49</v>
      </c>
      <c r="J20" s="99">
        <f t="shared" si="1"/>
        <v>787755.49</v>
      </c>
      <c r="K20" s="94"/>
    </row>
    <row r="21" spans="1:11" ht="12.75">
      <c r="A21" s="95" t="s">
        <v>8</v>
      </c>
      <c r="B21" s="85">
        <f>UR12!M99*1000</f>
        <v>760000</v>
      </c>
      <c r="C21" s="85">
        <f t="shared" si="5"/>
        <v>760000</v>
      </c>
      <c r="D21" s="348">
        <f>'HV-HC'!Q47-'HV-HC'!Q68+'HV-HC'!Q70</f>
        <v>842853.86</v>
      </c>
      <c r="E21" s="97">
        <f t="shared" si="4"/>
        <v>82853.85999999999</v>
      </c>
      <c r="F21" s="83">
        <f>'HV-HC'!Q68</f>
        <v>147798.15</v>
      </c>
      <c r="G21" s="100">
        <f>B21</f>
        <v>760000</v>
      </c>
      <c r="H21" s="85">
        <f t="shared" si="6"/>
        <v>760000</v>
      </c>
      <c r="I21" s="93">
        <f>SUM(D21+F21)</f>
        <v>990652.01</v>
      </c>
      <c r="J21" s="99">
        <f t="shared" si="1"/>
        <v>230652.01</v>
      </c>
      <c r="K21" s="94"/>
    </row>
    <row r="22" spans="1:11" ht="12.75">
      <c r="A22" s="95" t="s">
        <v>9</v>
      </c>
      <c r="B22" s="85">
        <f>UR12!M100*1000</f>
        <v>600000</v>
      </c>
      <c r="C22" s="85">
        <f t="shared" si="5"/>
        <v>600000</v>
      </c>
      <c r="D22" s="348">
        <f>'HV-HC'!R47-'HV-HC'!R68+'HV-HC'!R70</f>
        <v>1960728.73</v>
      </c>
      <c r="E22" s="97">
        <f t="shared" si="4"/>
        <v>1360728.73</v>
      </c>
      <c r="F22" s="83">
        <f>'HV-HC'!R68</f>
        <v>0</v>
      </c>
      <c r="G22" s="100">
        <f>B22</f>
        <v>600000</v>
      </c>
      <c r="H22" s="85">
        <f t="shared" si="6"/>
        <v>600000</v>
      </c>
      <c r="I22" s="93">
        <f>SUM(D22+F22)</f>
        <v>1960728.73</v>
      </c>
      <c r="J22" s="99">
        <f t="shared" si="1"/>
        <v>1360728.73</v>
      </c>
      <c r="K22" s="94"/>
    </row>
    <row r="23" spans="1:10" ht="13.5" thickBot="1">
      <c r="A23" s="101" t="s">
        <v>110</v>
      </c>
      <c r="B23" s="102">
        <f aca="true" t="shared" si="7" ref="B23:J23">SUM(B8:B22)</f>
        <v>111391000</v>
      </c>
      <c r="C23" s="102">
        <f>SUM(C8:C22)</f>
        <v>68282000</v>
      </c>
      <c r="D23" s="88">
        <f>SUM(D8:D22)</f>
        <v>76079219.28000002</v>
      </c>
      <c r="E23" s="89">
        <f t="shared" si="7"/>
        <v>7797219.2800000105</v>
      </c>
      <c r="F23" s="88">
        <f t="shared" si="7"/>
        <v>120649973.87</v>
      </c>
      <c r="G23" s="103">
        <f t="shared" si="7"/>
        <v>111391000</v>
      </c>
      <c r="H23" s="102">
        <f>SUM(H8:H22)</f>
        <v>68282000</v>
      </c>
      <c r="I23" s="88">
        <f t="shared" si="7"/>
        <v>196729193.14999998</v>
      </c>
      <c r="J23" s="89">
        <f t="shared" si="7"/>
        <v>128447193.15</v>
      </c>
    </row>
    <row r="25" spans="1:12" ht="26.25" customHeight="1">
      <c r="A25" s="581"/>
      <c r="B25" s="581"/>
      <c r="C25" s="581"/>
      <c r="D25" s="581"/>
      <c r="E25" s="581"/>
      <c r="F25" s="581"/>
      <c r="G25" s="581"/>
      <c r="H25" s="581"/>
      <c r="I25" s="581"/>
      <c r="J25" s="581"/>
      <c r="K25" s="301"/>
      <c r="L25" s="301"/>
    </row>
    <row r="26" ht="12.75">
      <c r="F26" s="270"/>
    </row>
  </sheetData>
  <sheetProtection/>
  <mergeCells count="7">
    <mergeCell ref="J6:J7"/>
    <mergeCell ref="G6:I6"/>
    <mergeCell ref="F6:F7"/>
    <mergeCell ref="A25:J25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23"/>
  <sheetViews>
    <sheetView zoomScale="80" zoomScaleNormal="80" zoomScalePageLayoutView="0" workbookViewId="0" topLeftCell="A1">
      <selection activeCell="H5" sqref="H5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9.8515625" style="0" bestFit="1" customWidth="1"/>
    <col min="4" max="4" width="11.57421875" style="0" customWidth="1"/>
    <col min="6" max="6" width="12.00390625" style="0" bestFit="1" customWidth="1"/>
    <col min="7" max="7" width="10.28125" style="0" bestFit="1" customWidth="1"/>
    <col min="8" max="8" width="14.140625" style="0" customWidth="1"/>
  </cols>
  <sheetData>
    <row r="1" ht="15.75">
      <c r="H1" s="2" t="s">
        <v>188</v>
      </c>
    </row>
    <row r="3" ht="15.75">
      <c r="A3" s="130" t="s">
        <v>405</v>
      </c>
    </row>
    <row r="4" ht="12.75">
      <c r="A4" s="81"/>
    </row>
    <row r="5" ht="13.5" thickBot="1">
      <c r="F5" t="s">
        <v>423</v>
      </c>
    </row>
    <row r="6" spans="1:8" ht="12.75" customHeight="1">
      <c r="A6" s="586" t="s">
        <v>103</v>
      </c>
      <c r="B6" s="588" t="s">
        <v>104</v>
      </c>
      <c r="C6" s="589"/>
      <c r="D6" s="588" t="s">
        <v>105</v>
      </c>
      <c r="E6" s="589"/>
      <c r="F6" s="588" t="s">
        <v>106</v>
      </c>
      <c r="G6" s="589"/>
      <c r="H6" s="584" t="s">
        <v>107</v>
      </c>
    </row>
    <row r="7" spans="1:8" ht="25.5">
      <c r="A7" s="587"/>
      <c r="B7" s="82" t="s">
        <v>104</v>
      </c>
      <c r="C7" s="82" t="s">
        <v>108</v>
      </c>
      <c r="D7" s="82" t="s">
        <v>105</v>
      </c>
      <c r="E7" s="82" t="s">
        <v>108</v>
      </c>
      <c r="F7" s="82" t="s">
        <v>109</v>
      </c>
      <c r="G7" s="82" t="s">
        <v>108</v>
      </c>
      <c r="H7" s="585"/>
    </row>
    <row r="8" spans="1:8" ht="12.75">
      <c r="A8" s="95" t="s">
        <v>418</v>
      </c>
      <c r="B8" s="540">
        <f>'HV-HC'!D79</f>
        <v>-7749135.719999991</v>
      </c>
      <c r="C8" s="85"/>
      <c r="D8" s="85"/>
      <c r="E8" s="85"/>
      <c r="F8" s="85">
        <f aca="true" t="shared" si="0" ref="F8:F22">D8+B8</f>
        <v>-7749135.719999991</v>
      </c>
      <c r="G8" s="83">
        <f aca="true" t="shared" si="1" ref="G8:G22">C8+E8</f>
        <v>0</v>
      </c>
      <c r="H8" s="84">
        <f aca="true" t="shared" si="2" ref="H8:H22">F8-G8</f>
        <v>-7749135.719999991</v>
      </c>
    </row>
    <row r="9" spans="1:8" ht="12.75">
      <c r="A9" s="95" t="s">
        <v>425</v>
      </c>
      <c r="B9" s="540">
        <f>'HV-HC'!E79</f>
        <v>-3274239.599999994</v>
      </c>
      <c r="C9" s="85"/>
      <c r="D9" s="85">
        <f>'HV-JC '!D79</f>
        <v>13778.16</v>
      </c>
      <c r="E9" s="85"/>
      <c r="F9" s="85">
        <f t="shared" si="0"/>
        <v>-3260461.439999994</v>
      </c>
      <c r="G9" s="83">
        <f t="shared" si="1"/>
        <v>0</v>
      </c>
      <c r="H9" s="84">
        <f t="shared" si="2"/>
        <v>-3260461.439999994</v>
      </c>
    </row>
    <row r="10" spans="1:8" ht="12.75">
      <c r="A10" s="95" t="s">
        <v>409</v>
      </c>
      <c r="B10" s="149">
        <f>'HV-HC'!F79</f>
        <v>0</v>
      </c>
      <c r="C10" s="85"/>
      <c r="D10" s="85">
        <f>'HV-JC '!E79</f>
        <v>0</v>
      </c>
      <c r="E10" s="85"/>
      <c r="F10" s="85">
        <f t="shared" si="0"/>
        <v>0</v>
      </c>
      <c r="G10" s="83">
        <f t="shared" si="1"/>
        <v>0</v>
      </c>
      <c r="H10" s="84">
        <f t="shared" si="2"/>
        <v>0</v>
      </c>
    </row>
    <row r="11" spans="1:8" ht="12.75">
      <c r="A11" s="95" t="s">
        <v>419</v>
      </c>
      <c r="B11" s="96">
        <f>'HV-HC'!G79</f>
        <v>193060.86000000034</v>
      </c>
      <c r="C11" s="86">
        <f>'HV-HC'!G80</f>
        <v>40000</v>
      </c>
      <c r="D11" s="85">
        <f>'HV-JC '!F79</f>
        <v>-153807.22999999998</v>
      </c>
      <c r="E11" s="85"/>
      <c r="F11" s="85">
        <f t="shared" si="0"/>
        <v>39253.630000000354</v>
      </c>
      <c r="G11" s="83">
        <f t="shared" si="1"/>
        <v>40000</v>
      </c>
      <c r="H11" s="84">
        <f t="shared" si="2"/>
        <v>-746.3699999996461</v>
      </c>
    </row>
    <row r="12" spans="1:8" ht="12.75">
      <c r="A12" s="95" t="s">
        <v>5</v>
      </c>
      <c r="B12" s="96">
        <f>'HV-HC'!H79</f>
        <v>603368.9599999785</v>
      </c>
      <c r="C12" s="86">
        <f>'HV-HC'!H80</f>
        <v>1647870</v>
      </c>
      <c r="D12" s="85">
        <f>'HV-JC '!G79</f>
        <v>562333.7199999997</v>
      </c>
      <c r="E12" s="85"/>
      <c r="F12" s="85">
        <f t="shared" si="0"/>
        <v>1165702.6799999783</v>
      </c>
      <c r="G12" s="83">
        <f t="shared" si="1"/>
        <v>1647870</v>
      </c>
      <c r="H12" s="84">
        <f t="shared" si="2"/>
        <v>-482167.3200000217</v>
      </c>
    </row>
    <row r="13" spans="1:8" ht="12.75">
      <c r="A13" s="95" t="s">
        <v>4</v>
      </c>
      <c r="B13" s="540">
        <f>'HV-HC'!I79</f>
        <v>2463112.8899999857</v>
      </c>
      <c r="C13" s="86"/>
      <c r="D13" s="534">
        <f>'HV-JC '!H79</f>
        <v>129864.69999999995</v>
      </c>
      <c r="E13" s="85"/>
      <c r="F13" s="85">
        <f t="shared" si="0"/>
        <v>2592977.589999986</v>
      </c>
      <c r="G13" s="83">
        <f t="shared" si="1"/>
        <v>0</v>
      </c>
      <c r="H13" s="84">
        <f t="shared" si="2"/>
        <v>2592977.589999986</v>
      </c>
    </row>
    <row r="14" spans="1:8" ht="12.75">
      <c r="A14" s="95" t="s">
        <v>420</v>
      </c>
      <c r="B14" s="540">
        <f>'HV-HC'!J79</f>
        <v>1758589.8299999833</v>
      </c>
      <c r="C14" s="96">
        <f>'HV-HC'!J80</f>
        <v>109971</v>
      </c>
      <c r="D14" s="534">
        <f>'HV-JC '!I79</f>
        <v>81146.1499999999</v>
      </c>
      <c r="E14" s="85">
        <f>'HV-JC '!I80</f>
        <v>5364</v>
      </c>
      <c r="F14" s="85">
        <f>D14+B14</f>
        <v>1839735.9799999832</v>
      </c>
      <c r="G14" s="83">
        <f>C14+E14</f>
        <v>115335</v>
      </c>
      <c r="H14" s="84">
        <f>F14-G14</f>
        <v>1724400.9799999832</v>
      </c>
    </row>
    <row r="15" spans="1:8" ht="12.75">
      <c r="A15" s="95" t="s">
        <v>421</v>
      </c>
      <c r="B15" s="96">
        <f>'HV-HC'!K79</f>
        <v>3166933.030000001</v>
      </c>
      <c r="C15" s="85"/>
      <c r="D15" s="85"/>
      <c r="E15" s="85"/>
      <c r="F15" s="85">
        <f t="shared" si="0"/>
        <v>3166933.030000001</v>
      </c>
      <c r="G15" s="83">
        <f t="shared" si="1"/>
        <v>0</v>
      </c>
      <c r="H15" s="84">
        <f t="shared" si="2"/>
        <v>3166933.030000001</v>
      </c>
    </row>
    <row r="16" spans="1:8" ht="12.75">
      <c r="A16" s="95" t="s">
        <v>6</v>
      </c>
      <c r="B16" s="96">
        <f>'HV-HC'!L79</f>
        <v>568907.6700000167</v>
      </c>
      <c r="C16" s="85"/>
      <c r="D16" s="85">
        <f>'HV-JC '!J79</f>
        <v>-302379.31999999983</v>
      </c>
      <c r="E16" s="85"/>
      <c r="F16" s="85">
        <f aca="true" t="shared" si="3" ref="F16:F21">D16+B16</f>
        <v>266528.35000001686</v>
      </c>
      <c r="G16" s="83">
        <f aca="true" t="shared" si="4" ref="G16:G21">C16+E16</f>
        <v>0</v>
      </c>
      <c r="H16" s="84">
        <f aca="true" t="shared" si="5" ref="H16:H21">F16-G16</f>
        <v>266528.35000001686</v>
      </c>
    </row>
    <row r="17" spans="1:8" ht="12.75">
      <c r="A17" s="185" t="s">
        <v>190</v>
      </c>
      <c r="B17" s="96">
        <f>'HV-HC'!M79</f>
        <v>120707978.56</v>
      </c>
      <c r="C17" s="96">
        <f>'HV-HC'!M80</f>
        <v>800200</v>
      </c>
      <c r="D17" s="85">
        <f>'HV-JC '!K79</f>
        <v>174633.33</v>
      </c>
      <c r="E17" s="85"/>
      <c r="F17" s="85">
        <f t="shared" si="3"/>
        <v>120882611.89</v>
      </c>
      <c r="G17" s="83">
        <f t="shared" si="4"/>
        <v>800200</v>
      </c>
      <c r="H17" s="84">
        <f t="shared" si="5"/>
        <v>120082411.89</v>
      </c>
    </row>
    <row r="18" spans="1:8" ht="12.75">
      <c r="A18" s="95" t="s">
        <v>7</v>
      </c>
      <c r="B18" s="96">
        <f>'HV-HC'!N79</f>
        <v>1096.2400000002235</v>
      </c>
      <c r="C18" s="85"/>
      <c r="D18" s="85"/>
      <c r="E18" s="85"/>
      <c r="F18" s="85">
        <f t="shared" si="3"/>
        <v>1096.2400000002235</v>
      </c>
      <c r="G18" s="83">
        <f t="shared" si="4"/>
        <v>0</v>
      </c>
      <c r="H18" s="84">
        <f t="shared" si="5"/>
        <v>1096.2400000002235</v>
      </c>
    </row>
    <row r="19" spans="1:8" ht="12.75">
      <c r="A19" s="95" t="s">
        <v>422</v>
      </c>
      <c r="B19" s="96">
        <f>'HV-HC'!O79</f>
        <v>83265</v>
      </c>
      <c r="C19" s="85"/>
      <c r="D19" s="85">
        <f>'HV-JC '!L79</f>
        <v>50815.70999999996</v>
      </c>
      <c r="E19" s="85"/>
      <c r="F19" s="85">
        <f t="shared" si="3"/>
        <v>134080.70999999996</v>
      </c>
      <c r="G19" s="83">
        <f t="shared" si="4"/>
        <v>0</v>
      </c>
      <c r="H19" s="84">
        <f t="shared" si="5"/>
        <v>134080.70999999996</v>
      </c>
    </row>
    <row r="20" spans="1:8" ht="12.75">
      <c r="A20" s="95" t="s">
        <v>191</v>
      </c>
      <c r="B20" s="96">
        <f>'HV-HC'!P79</f>
        <v>3508339.4099999666</v>
      </c>
      <c r="C20" s="85"/>
      <c r="D20" s="85">
        <f>'HV-JC '!M79</f>
        <v>254216.7899999998</v>
      </c>
      <c r="E20" s="85"/>
      <c r="F20" s="85">
        <f t="shared" si="3"/>
        <v>3762556.1999999667</v>
      </c>
      <c r="G20" s="83">
        <f t="shared" si="4"/>
        <v>0</v>
      </c>
      <c r="H20" s="84">
        <f t="shared" si="5"/>
        <v>3762556.1999999667</v>
      </c>
    </row>
    <row r="21" spans="1:8" ht="12.75">
      <c r="A21" s="95" t="s">
        <v>8</v>
      </c>
      <c r="B21" s="96">
        <f>'HV-HC'!Q79</f>
        <v>336706.4399999995</v>
      </c>
      <c r="C21" s="96">
        <f>'HV-HC'!Q80</f>
        <v>13033</v>
      </c>
      <c r="D21" s="85"/>
      <c r="E21" s="85"/>
      <c r="F21" s="85">
        <f t="shared" si="3"/>
        <v>336706.4399999995</v>
      </c>
      <c r="G21" s="83">
        <f t="shared" si="4"/>
        <v>13033</v>
      </c>
      <c r="H21" s="84">
        <f t="shared" si="5"/>
        <v>323673.4399999995</v>
      </c>
    </row>
    <row r="22" spans="1:8" ht="12.75">
      <c r="A22" s="95" t="s">
        <v>9</v>
      </c>
      <c r="B22" s="96">
        <f>'HV-HC'!R79</f>
        <v>16390.710000000894</v>
      </c>
      <c r="C22" s="85"/>
      <c r="D22" s="85"/>
      <c r="E22" s="85"/>
      <c r="F22" s="85">
        <f t="shared" si="0"/>
        <v>16390.710000000894</v>
      </c>
      <c r="G22" s="83">
        <f t="shared" si="1"/>
        <v>0</v>
      </c>
      <c r="H22" s="84">
        <f t="shared" si="2"/>
        <v>16390.710000000894</v>
      </c>
    </row>
    <row r="23" spans="1:8" ht="13.5" thickBot="1">
      <c r="A23" s="87" t="s">
        <v>110</v>
      </c>
      <c r="B23" s="88">
        <f aca="true" t="shared" si="6" ref="B23:H23">SUM(B8:B22)</f>
        <v>122384374.27999994</v>
      </c>
      <c r="C23" s="88">
        <f t="shared" si="6"/>
        <v>2611074</v>
      </c>
      <c r="D23" s="88">
        <f t="shared" si="6"/>
        <v>810602.0099999995</v>
      </c>
      <c r="E23" s="88">
        <f t="shared" si="6"/>
        <v>5364</v>
      </c>
      <c r="F23" s="88">
        <f t="shared" si="6"/>
        <v>123194976.28999993</v>
      </c>
      <c r="G23" s="88">
        <f t="shared" si="6"/>
        <v>2616438</v>
      </c>
      <c r="H23" s="89">
        <f t="shared" si="6"/>
        <v>120578538.28999993</v>
      </c>
    </row>
  </sheetData>
  <sheetProtection/>
  <mergeCells count="5">
    <mergeCell ref="H6:H7"/>
    <mergeCell ref="A6:A7"/>
    <mergeCell ref="B6:C6"/>
    <mergeCell ref="D6:E6"/>
    <mergeCell ref="F6:G6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82"/>
  <sheetViews>
    <sheetView tabSelected="1" zoomScale="75" zoomScaleNormal="75" zoomScalePageLayoutView="0" workbookViewId="0" topLeftCell="A1">
      <pane xSplit="3" ySplit="4" topLeftCell="M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53" sqref="Q53"/>
    </sheetView>
  </sheetViews>
  <sheetFormatPr defaultColWidth="9.140625" defaultRowHeight="12.75"/>
  <cols>
    <col min="1" max="1" width="6.7109375" style="76" customWidth="1"/>
    <col min="2" max="2" width="43.140625" style="76" customWidth="1"/>
    <col min="3" max="3" width="7.140625" style="76" bestFit="1" customWidth="1"/>
    <col min="4" max="5" width="14.421875" style="76" bestFit="1" customWidth="1"/>
    <col min="6" max="7" width="13.28125" style="76" bestFit="1" customWidth="1"/>
    <col min="8" max="10" width="15.7109375" style="76" bestFit="1" customWidth="1"/>
    <col min="11" max="11" width="14.421875" style="76" bestFit="1" customWidth="1"/>
    <col min="12" max="13" width="15.7109375" style="76" bestFit="1" customWidth="1"/>
    <col min="14" max="14" width="14.421875" style="76" bestFit="1" customWidth="1"/>
    <col min="15" max="16" width="15.7109375" style="76" bestFit="1" customWidth="1"/>
    <col min="17" max="17" width="13.28125" style="76" bestFit="1" customWidth="1"/>
    <col min="18" max="18" width="14.421875" style="76" bestFit="1" customWidth="1"/>
    <col min="19" max="19" width="17.421875" style="76" bestFit="1" customWidth="1"/>
    <col min="20" max="20" width="20.00390625" style="76" bestFit="1" customWidth="1"/>
    <col min="21" max="16384" width="9.140625" style="76" customWidth="1"/>
  </cols>
  <sheetData>
    <row r="1" spans="10:19" ht="15.75">
      <c r="J1"/>
      <c r="L1" s="80"/>
      <c r="S1" s="106" t="s">
        <v>170</v>
      </c>
    </row>
    <row r="2" spans="1:14" ht="15.75">
      <c r="A2" s="77" t="s">
        <v>673</v>
      </c>
      <c r="B2" s="72"/>
      <c r="C2" s="72"/>
      <c r="D2" s="72"/>
      <c r="E2" s="72"/>
      <c r="F2" s="74"/>
      <c r="H2" s="74"/>
      <c r="I2" s="74"/>
      <c r="J2"/>
      <c r="K2" s="74"/>
      <c r="M2" s="74"/>
      <c r="N2" s="78"/>
    </row>
    <row r="3" spans="1:19" ht="16.5" thickBo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302" t="s">
        <v>406</v>
      </c>
    </row>
    <row r="4" spans="1:19" s="190" customFormat="1" ht="18" customHeight="1" thickBot="1">
      <c r="A4" s="210" t="s">
        <v>205</v>
      </c>
      <c r="B4" s="210" t="s">
        <v>206</v>
      </c>
      <c r="C4" s="211" t="s">
        <v>26</v>
      </c>
      <c r="D4" s="212" t="s">
        <v>407</v>
      </c>
      <c r="E4" s="212" t="s">
        <v>408</v>
      </c>
      <c r="F4" s="212" t="s">
        <v>409</v>
      </c>
      <c r="G4" s="212" t="s">
        <v>410</v>
      </c>
      <c r="H4" s="212" t="s">
        <v>166</v>
      </c>
      <c r="I4" s="212" t="s">
        <v>27</v>
      </c>
      <c r="J4" s="212" t="s">
        <v>411</v>
      </c>
      <c r="K4" s="212" t="s">
        <v>412</v>
      </c>
      <c r="L4" s="212" t="s">
        <v>28</v>
      </c>
      <c r="M4" s="212" t="s">
        <v>192</v>
      </c>
      <c r="N4" s="212" t="s">
        <v>100</v>
      </c>
      <c r="O4" s="212" t="s">
        <v>413</v>
      </c>
      <c r="P4" s="212" t="s">
        <v>193</v>
      </c>
      <c r="Q4" s="212" t="s">
        <v>207</v>
      </c>
      <c r="R4" s="212" t="s">
        <v>101</v>
      </c>
      <c r="S4" s="212" t="s">
        <v>102</v>
      </c>
    </row>
    <row r="5" spans="1:19" s="217" customFormat="1" ht="14.25" customHeight="1">
      <c r="A5" s="214" t="s">
        <v>208</v>
      </c>
      <c r="B5" s="215" t="s">
        <v>414</v>
      </c>
      <c r="C5" s="216"/>
      <c r="D5" s="303">
        <f aca="true" t="shared" si="0" ref="D5:R5">SUM(D6,D37,D42)</f>
        <v>68682099.8</v>
      </c>
      <c r="E5" s="303">
        <f>SUM(E6,E37,E42)</f>
        <v>32486593.089999996</v>
      </c>
      <c r="F5" s="303">
        <f t="shared" si="0"/>
        <v>5508637.42</v>
      </c>
      <c r="G5" s="303">
        <f>SUM(G6,G37,G42)</f>
        <v>3517527.65</v>
      </c>
      <c r="H5" s="303">
        <f t="shared" si="0"/>
        <v>100695087.55000001</v>
      </c>
      <c r="I5" s="303">
        <f>SUM(I6,I37,I42)</f>
        <v>154654535.07000002</v>
      </c>
      <c r="J5" s="303">
        <f t="shared" si="0"/>
        <v>406339660.59000003</v>
      </c>
      <c r="K5" s="303">
        <f t="shared" si="0"/>
        <v>19956348.93</v>
      </c>
      <c r="L5" s="303">
        <f t="shared" si="0"/>
        <v>129229902.91</v>
      </c>
      <c r="M5" s="303">
        <f t="shared" si="0"/>
        <v>214635477.82</v>
      </c>
      <c r="N5" s="303">
        <f t="shared" si="0"/>
        <v>12726774.7</v>
      </c>
      <c r="O5" s="303">
        <f t="shared" si="0"/>
        <v>129138011.17</v>
      </c>
      <c r="P5" s="303">
        <f t="shared" si="0"/>
        <v>270600269.07000005</v>
      </c>
      <c r="Q5" s="303">
        <f t="shared" si="0"/>
        <v>5812446.850000001</v>
      </c>
      <c r="R5" s="303">
        <f t="shared" si="0"/>
        <v>14495338.02</v>
      </c>
      <c r="S5" s="304">
        <f>SUM(D5:R5)</f>
        <v>1568478710.6399999</v>
      </c>
    </row>
    <row r="6" spans="1:19" s="217" customFormat="1" ht="14.25" customHeight="1">
      <c r="A6" s="218" t="s">
        <v>209</v>
      </c>
      <c r="B6" s="219" t="s">
        <v>210</v>
      </c>
      <c r="C6" s="220"/>
      <c r="D6" s="305">
        <f aca="true" t="shared" si="1" ref="D6:R6">SUM(D7:D36)</f>
        <v>68682072.8</v>
      </c>
      <c r="E6" s="305">
        <f>SUM(E7:E36)</f>
        <v>32486574.089999996</v>
      </c>
      <c r="F6" s="305">
        <f t="shared" si="1"/>
        <v>5493156.28</v>
      </c>
      <c r="G6" s="305">
        <f>SUM(G7:G36)</f>
        <v>3512049.17</v>
      </c>
      <c r="H6" s="305">
        <f t="shared" si="1"/>
        <v>100631398.18</v>
      </c>
      <c r="I6" s="305">
        <f>SUM(I7:I36)</f>
        <v>152900703.24</v>
      </c>
      <c r="J6" s="305">
        <f t="shared" si="1"/>
        <v>406325391.78000003</v>
      </c>
      <c r="K6" s="305">
        <f t="shared" si="1"/>
        <v>19880237.77</v>
      </c>
      <c r="L6" s="305">
        <f t="shared" si="1"/>
        <v>129182203.11</v>
      </c>
      <c r="M6" s="305">
        <f t="shared" si="1"/>
        <v>213779605.56</v>
      </c>
      <c r="N6" s="305">
        <f t="shared" si="1"/>
        <v>11282337.07</v>
      </c>
      <c r="O6" s="305">
        <f t="shared" si="1"/>
        <v>128972368.36</v>
      </c>
      <c r="P6" s="305">
        <f t="shared" si="1"/>
        <v>270561207.94000006</v>
      </c>
      <c r="Q6" s="305">
        <f t="shared" si="1"/>
        <v>5780281.890000001</v>
      </c>
      <c r="R6" s="305">
        <f t="shared" si="1"/>
        <v>14265232.59</v>
      </c>
      <c r="S6" s="306">
        <f aca="true" t="shared" si="2" ref="S6:S69">SUM(D6:R6)</f>
        <v>1563734819.83</v>
      </c>
    </row>
    <row r="7" spans="1:19" s="190" customFormat="1" ht="14.25" customHeight="1">
      <c r="A7" s="221" t="s">
        <v>211</v>
      </c>
      <c r="B7" s="222" t="s">
        <v>30</v>
      </c>
      <c r="C7" s="223" t="s">
        <v>29</v>
      </c>
      <c r="D7" s="307">
        <v>5870923.18</v>
      </c>
      <c r="E7" s="307">
        <v>1887882.04</v>
      </c>
      <c r="F7" s="307">
        <v>934634.2</v>
      </c>
      <c r="G7" s="307">
        <v>398149.9</v>
      </c>
      <c r="H7" s="307">
        <v>7375864.41</v>
      </c>
      <c r="I7" s="307">
        <v>13162978.31</v>
      </c>
      <c r="J7" s="307">
        <v>9303184.27</v>
      </c>
      <c r="K7" s="307">
        <v>1626725.06</v>
      </c>
      <c r="L7" s="307">
        <v>3266185.91</v>
      </c>
      <c r="M7" s="307">
        <v>17313010.1</v>
      </c>
      <c r="N7" s="307">
        <v>140034.28</v>
      </c>
      <c r="O7" s="307">
        <v>7599497.81</v>
      </c>
      <c r="P7" s="307">
        <v>4930758.76</v>
      </c>
      <c r="Q7" s="307">
        <v>356307</v>
      </c>
      <c r="R7" s="307">
        <v>1132063.06</v>
      </c>
      <c r="S7" s="308">
        <f t="shared" si="2"/>
        <v>75298198.29</v>
      </c>
    </row>
    <row r="8" spans="1:19" s="190" customFormat="1" ht="14.25" customHeight="1">
      <c r="A8" s="221" t="s">
        <v>212</v>
      </c>
      <c r="B8" s="224" t="s">
        <v>32</v>
      </c>
      <c r="C8" s="225" t="s">
        <v>31</v>
      </c>
      <c r="D8" s="309">
        <v>704476.77</v>
      </c>
      <c r="E8" s="309">
        <v>0</v>
      </c>
      <c r="F8" s="309">
        <v>319419.73</v>
      </c>
      <c r="G8" s="309">
        <v>236470.51</v>
      </c>
      <c r="H8" s="309">
        <v>3878972.77</v>
      </c>
      <c r="I8" s="309">
        <v>1846566.14</v>
      </c>
      <c r="J8" s="309">
        <v>2052815.42</v>
      </c>
      <c r="K8" s="309">
        <v>739787</v>
      </c>
      <c r="L8" s="309">
        <v>1479432.11</v>
      </c>
      <c r="M8" s="309">
        <v>7577714.34</v>
      </c>
      <c r="N8" s="309">
        <v>65234</v>
      </c>
      <c r="O8" s="309">
        <v>5520944.8</v>
      </c>
      <c r="P8" s="309">
        <v>4953790.75</v>
      </c>
      <c r="Q8" s="309">
        <v>263177.35</v>
      </c>
      <c r="R8" s="309">
        <v>42633.85</v>
      </c>
      <c r="S8" s="310">
        <f t="shared" si="2"/>
        <v>29681435.540000003</v>
      </c>
    </row>
    <row r="9" spans="1:19" s="190" customFormat="1" ht="14.25" customHeight="1">
      <c r="A9" s="221" t="s">
        <v>213</v>
      </c>
      <c r="B9" s="224" t="s">
        <v>214</v>
      </c>
      <c r="C9" s="225" t="s">
        <v>33</v>
      </c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9">
        <v>54819.42</v>
      </c>
      <c r="J9" s="309">
        <v>0</v>
      </c>
      <c r="K9" s="309">
        <v>0</v>
      </c>
      <c r="L9" s="309">
        <v>0</v>
      </c>
      <c r="M9" s="309">
        <v>0</v>
      </c>
      <c r="N9" s="309">
        <v>0</v>
      </c>
      <c r="O9" s="309">
        <v>0</v>
      </c>
      <c r="P9" s="309">
        <v>0</v>
      </c>
      <c r="Q9" s="309">
        <v>0</v>
      </c>
      <c r="R9" s="309">
        <v>0</v>
      </c>
      <c r="S9" s="310">
        <f t="shared" si="2"/>
        <v>54819.42</v>
      </c>
    </row>
    <row r="10" spans="1:19" s="190" customFormat="1" ht="14.25" customHeight="1">
      <c r="A10" s="221" t="s">
        <v>215</v>
      </c>
      <c r="B10" s="224" t="s">
        <v>35</v>
      </c>
      <c r="C10" s="225" t="s">
        <v>34</v>
      </c>
      <c r="D10" s="309">
        <v>0</v>
      </c>
      <c r="E10" s="309">
        <v>0</v>
      </c>
      <c r="F10" s="309">
        <v>0</v>
      </c>
      <c r="G10" s="309">
        <v>0</v>
      </c>
      <c r="H10" s="309">
        <v>0</v>
      </c>
      <c r="I10" s="309">
        <v>0</v>
      </c>
      <c r="J10" s="309">
        <v>0</v>
      </c>
      <c r="K10" s="309">
        <v>0</v>
      </c>
      <c r="L10" s="309">
        <v>0</v>
      </c>
      <c r="M10" s="309">
        <v>0</v>
      </c>
      <c r="N10" s="309">
        <v>0</v>
      </c>
      <c r="O10" s="309">
        <v>0</v>
      </c>
      <c r="P10" s="309">
        <v>0</v>
      </c>
      <c r="Q10" s="309">
        <v>0</v>
      </c>
      <c r="R10" s="309">
        <v>0</v>
      </c>
      <c r="S10" s="310">
        <f t="shared" si="2"/>
        <v>0</v>
      </c>
    </row>
    <row r="11" spans="1:19" s="190" customFormat="1" ht="14.25" customHeight="1">
      <c r="A11" s="221" t="s">
        <v>216</v>
      </c>
      <c r="B11" s="224" t="s">
        <v>37</v>
      </c>
      <c r="C11" s="225" t="s">
        <v>36</v>
      </c>
      <c r="D11" s="309">
        <v>287539</v>
      </c>
      <c r="E11" s="309">
        <v>19952</v>
      </c>
      <c r="F11" s="309">
        <v>643762.64</v>
      </c>
      <c r="G11" s="309">
        <v>57755.42</v>
      </c>
      <c r="H11" s="309">
        <v>797903.68</v>
      </c>
      <c r="I11" s="309">
        <v>976999.84</v>
      </c>
      <c r="J11" s="309">
        <v>5461486.52</v>
      </c>
      <c r="K11" s="309">
        <v>157341</v>
      </c>
      <c r="L11" s="309">
        <v>200656.92</v>
      </c>
      <c r="M11" s="309">
        <v>10184639.71</v>
      </c>
      <c r="N11" s="309">
        <v>0</v>
      </c>
      <c r="O11" s="309">
        <v>4845452.78</v>
      </c>
      <c r="P11" s="309">
        <v>1193936.72</v>
      </c>
      <c r="Q11" s="309">
        <v>98858.9</v>
      </c>
      <c r="R11" s="309">
        <v>38061.97</v>
      </c>
      <c r="S11" s="310">
        <f t="shared" si="2"/>
        <v>24964347.099999998</v>
      </c>
    </row>
    <row r="12" spans="1:19" s="190" customFormat="1" ht="14.25" customHeight="1">
      <c r="A12" s="221" t="s">
        <v>217</v>
      </c>
      <c r="B12" s="224" t="s">
        <v>39</v>
      </c>
      <c r="C12" s="225" t="s">
        <v>38</v>
      </c>
      <c r="D12" s="309">
        <v>1562780.76</v>
      </c>
      <c r="E12" s="309">
        <v>219612.29</v>
      </c>
      <c r="F12" s="309">
        <v>6575</v>
      </c>
      <c r="G12" s="309">
        <v>13907.98</v>
      </c>
      <c r="H12" s="309">
        <v>1381302.23</v>
      </c>
      <c r="I12" s="309">
        <v>9909382.78</v>
      </c>
      <c r="J12" s="309">
        <v>6303670.78</v>
      </c>
      <c r="K12" s="309">
        <v>140147.97</v>
      </c>
      <c r="L12" s="309">
        <v>1730090.56</v>
      </c>
      <c r="M12" s="309">
        <v>433214.83</v>
      </c>
      <c r="N12" s="309">
        <v>1192479.32</v>
      </c>
      <c r="O12" s="309">
        <v>938477</v>
      </c>
      <c r="P12" s="309">
        <v>765548.59</v>
      </c>
      <c r="Q12" s="309">
        <v>59363</v>
      </c>
      <c r="R12" s="309">
        <v>476512.54</v>
      </c>
      <c r="S12" s="310">
        <f t="shared" si="2"/>
        <v>25133065.629999995</v>
      </c>
    </row>
    <row r="13" spans="1:19" s="190" customFormat="1" ht="14.25" customHeight="1">
      <c r="A13" s="221" t="s">
        <v>218</v>
      </c>
      <c r="B13" s="224" t="s">
        <v>41</v>
      </c>
      <c r="C13" s="225" t="s">
        <v>40</v>
      </c>
      <c r="D13" s="309">
        <v>55891</v>
      </c>
      <c r="E13" s="309">
        <v>55947.4</v>
      </c>
      <c r="F13" s="309">
        <v>1291</v>
      </c>
      <c r="G13" s="309">
        <v>2972.59</v>
      </c>
      <c r="H13" s="309">
        <v>85680.35</v>
      </c>
      <c r="I13" s="309">
        <v>21884.58</v>
      </c>
      <c r="J13" s="309">
        <v>2448089.67</v>
      </c>
      <c r="K13" s="309">
        <v>96353</v>
      </c>
      <c r="L13" s="309">
        <v>296876.97</v>
      </c>
      <c r="M13" s="309">
        <v>530430</v>
      </c>
      <c r="N13" s="309">
        <v>0</v>
      </c>
      <c r="O13" s="309">
        <v>17990.75</v>
      </c>
      <c r="P13" s="309">
        <v>111678.24</v>
      </c>
      <c r="Q13" s="309">
        <v>20009</v>
      </c>
      <c r="R13" s="309">
        <v>6264</v>
      </c>
      <c r="S13" s="310">
        <f t="shared" si="2"/>
        <v>3751358.55</v>
      </c>
    </row>
    <row r="14" spans="1:19" s="190" customFormat="1" ht="14.25" customHeight="1">
      <c r="A14" s="221" t="s">
        <v>219</v>
      </c>
      <c r="B14" s="224" t="s">
        <v>43</v>
      </c>
      <c r="C14" s="225" t="s">
        <v>42</v>
      </c>
      <c r="D14" s="309">
        <v>3297216.88</v>
      </c>
      <c r="E14" s="309">
        <v>7326483.46</v>
      </c>
      <c r="F14" s="309">
        <v>329001.06</v>
      </c>
      <c r="G14" s="309">
        <v>635765.94</v>
      </c>
      <c r="H14" s="309">
        <v>18745069.74</v>
      </c>
      <c r="I14" s="309">
        <v>34786834.69</v>
      </c>
      <c r="J14" s="309">
        <v>118391903.15</v>
      </c>
      <c r="K14" s="309">
        <v>2344020.52</v>
      </c>
      <c r="L14" s="309">
        <v>64681494.89</v>
      </c>
      <c r="M14" s="309">
        <v>90003959.2</v>
      </c>
      <c r="N14" s="309">
        <v>1249530.96</v>
      </c>
      <c r="O14" s="309">
        <v>19822098.99</v>
      </c>
      <c r="P14" s="309">
        <v>140827191.16</v>
      </c>
      <c r="Q14" s="309">
        <v>1225231.79</v>
      </c>
      <c r="R14" s="309">
        <v>7680550.48</v>
      </c>
      <c r="S14" s="310">
        <f t="shared" si="2"/>
        <v>511346352.91</v>
      </c>
    </row>
    <row r="15" spans="1:19" s="190" customFormat="1" ht="14.25" customHeight="1">
      <c r="A15" s="221" t="s">
        <v>220</v>
      </c>
      <c r="B15" s="224" t="s">
        <v>45</v>
      </c>
      <c r="C15" s="225" t="s">
        <v>44</v>
      </c>
      <c r="D15" s="309">
        <v>42137723</v>
      </c>
      <c r="E15" s="309">
        <v>17612682</v>
      </c>
      <c r="F15" s="309">
        <v>1153310</v>
      </c>
      <c r="G15" s="309">
        <v>1336967</v>
      </c>
      <c r="H15" s="309">
        <v>49062022</v>
      </c>
      <c r="I15" s="309">
        <v>52996868</v>
      </c>
      <c r="J15" s="309">
        <v>207466312</v>
      </c>
      <c r="K15" s="309">
        <v>10312000</v>
      </c>
      <c r="L15" s="309">
        <v>40737058.96</v>
      </c>
      <c r="M15" s="309">
        <v>40742256</v>
      </c>
      <c r="N15" s="309">
        <v>0</v>
      </c>
      <c r="O15" s="309">
        <v>67184246</v>
      </c>
      <c r="P15" s="309">
        <v>73709626</v>
      </c>
      <c r="Q15" s="309">
        <v>2723219</v>
      </c>
      <c r="R15" s="309">
        <v>2772930</v>
      </c>
      <c r="S15" s="310">
        <f t="shared" si="2"/>
        <v>609947219.96</v>
      </c>
    </row>
    <row r="16" spans="1:19" s="190" customFormat="1" ht="14.25" customHeight="1">
      <c r="A16" s="221" t="s">
        <v>221</v>
      </c>
      <c r="B16" s="224" t="s">
        <v>47</v>
      </c>
      <c r="C16" s="225" t="s">
        <v>46</v>
      </c>
      <c r="D16" s="309">
        <v>13809161</v>
      </c>
      <c r="E16" s="309">
        <v>4797816</v>
      </c>
      <c r="F16" s="309">
        <v>365000.99</v>
      </c>
      <c r="G16" s="309">
        <v>412917</v>
      </c>
      <c r="H16" s="309">
        <v>13342838</v>
      </c>
      <c r="I16" s="309">
        <v>16664657</v>
      </c>
      <c r="J16" s="309">
        <v>46479358</v>
      </c>
      <c r="K16" s="309">
        <v>3266337</v>
      </c>
      <c r="L16" s="309">
        <v>12372012.21</v>
      </c>
      <c r="M16" s="309">
        <v>13542396</v>
      </c>
      <c r="N16" s="309">
        <v>0</v>
      </c>
      <c r="O16" s="309">
        <v>17610699</v>
      </c>
      <c r="P16" s="309">
        <v>20190893</v>
      </c>
      <c r="Q16" s="309">
        <v>683325</v>
      </c>
      <c r="R16" s="309">
        <v>812600</v>
      </c>
      <c r="S16" s="310">
        <f t="shared" si="2"/>
        <v>164350010.2</v>
      </c>
    </row>
    <row r="17" spans="1:19" s="190" customFormat="1" ht="14.25" customHeight="1">
      <c r="A17" s="221" t="s">
        <v>222</v>
      </c>
      <c r="B17" s="224" t="s">
        <v>223</v>
      </c>
      <c r="C17" s="225" t="s">
        <v>48</v>
      </c>
      <c r="D17" s="309">
        <v>0</v>
      </c>
      <c r="E17" s="309">
        <v>0</v>
      </c>
      <c r="F17" s="309">
        <v>0</v>
      </c>
      <c r="G17" s="309">
        <v>4861.36</v>
      </c>
      <c r="H17" s="309">
        <v>0</v>
      </c>
      <c r="I17" s="309">
        <v>0</v>
      </c>
      <c r="J17" s="309">
        <v>0</v>
      </c>
      <c r="K17" s="309">
        <v>32503</v>
      </c>
      <c r="L17" s="309">
        <v>0</v>
      </c>
      <c r="M17" s="309">
        <v>0</v>
      </c>
      <c r="N17" s="309">
        <v>0</v>
      </c>
      <c r="O17" s="309">
        <v>0</v>
      </c>
      <c r="P17" s="309">
        <v>178408</v>
      </c>
      <c r="Q17" s="309">
        <v>8480</v>
      </c>
      <c r="R17" s="309">
        <v>0</v>
      </c>
      <c r="S17" s="310">
        <f t="shared" si="2"/>
        <v>224252.36</v>
      </c>
    </row>
    <row r="18" spans="1:19" s="190" customFormat="1" ht="14.25" customHeight="1">
      <c r="A18" s="221" t="s">
        <v>224</v>
      </c>
      <c r="B18" s="224" t="s">
        <v>50</v>
      </c>
      <c r="C18" s="225" t="s">
        <v>49</v>
      </c>
      <c r="D18" s="309">
        <v>56125</v>
      </c>
      <c r="E18" s="309">
        <v>103581</v>
      </c>
      <c r="F18" s="309">
        <v>9874.62</v>
      </c>
      <c r="G18" s="309">
        <v>33880.14</v>
      </c>
      <c r="H18" s="309">
        <v>364762</v>
      </c>
      <c r="I18" s="309">
        <v>1173588.49</v>
      </c>
      <c r="J18" s="309">
        <v>1929642.76</v>
      </c>
      <c r="K18" s="309">
        <v>92030</v>
      </c>
      <c r="L18" s="309">
        <v>295600</v>
      </c>
      <c r="M18" s="309">
        <v>1165707.5</v>
      </c>
      <c r="N18" s="309">
        <v>0</v>
      </c>
      <c r="O18" s="309">
        <v>349141</v>
      </c>
      <c r="P18" s="309">
        <v>406703</v>
      </c>
      <c r="Q18" s="309">
        <v>41879.65</v>
      </c>
      <c r="R18" s="309">
        <v>23900</v>
      </c>
      <c r="S18" s="310">
        <f t="shared" si="2"/>
        <v>6046415.16</v>
      </c>
    </row>
    <row r="19" spans="1:19" s="190" customFormat="1" ht="14.25" customHeight="1">
      <c r="A19" s="221" t="s">
        <v>225</v>
      </c>
      <c r="B19" s="224" t="s">
        <v>226</v>
      </c>
      <c r="C19" s="225" t="s">
        <v>51</v>
      </c>
      <c r="D19" s="309">
        <v>283259</v>
      </c>
      <c r="E19" s="309">
        <v>51712</v>
      </c>
      <c r="F19" s="309">
        <v>0</v>
      </c>
      <c r="G19" s="309">
        <v>3350</v>
      </c>
      <c r="H19" s="309">
        <v>126204</v>
      </c>
      <c r="I19" s="309">
        <v>767725</v>
      </c>
      <c r="J19" s="309">
        <v>275450</v>
      </c>
      <c r="K19" s="309">
        <v>236491</v>
      </c>
      <c r="L19" s="309">
        <v>522875.66</v>
      </c>
      <c r="M19" s="309">
        <v>244831</v>
      </c>
      <c r="N19" s="309">
        <v>0</v>
      </c>
      <c r="O19" s="309">
        <v>108987</v>
      </c>
      <c r="P19" s="309">
        <v>880126</v>
      </c>
      <c r="Q19" s="309">
        <v>30412</v>
      </c>
      <c r="R19" s="309">
        <v>0</v>
      </c>
      <c r="S19" s="310">
        <f t="shared" si="2"/>
        <v>3531422.66</v>
      </c>
    </row>
    <row r="20" spans="1:19" s="190" customFormat="1" ht="14.25" customHeight="1">
      <c r="A20" s="221" t="s">
        <v>227</v>
      </c>
      <c r="B20" s="224" t="s">
        <v>53</v>
      </c>
      <c r="C20" s="225" t="s">
        <v>52</v>
      </c>
      <c r="D20" s="309">
        <v>0</v>
      </c>
      <c r="E20" s="309">
        <v>0</v>
      </c>
      <c r="F20" s="309">
        <v>2925</v>
      </c>
      <c r="G20" s="309">
        <v>0</v>
      </c>
      <c r="H20" s="309">
        <v>0</v>
      </c>
      <c r="I20" s="309">
        <v>0</v>
      </c>
      <c r="J20" s="309">
        <v>0</v>
      </c>
      <c r="K20" s="309">
        <v>4800</v>
      </c>
      <c r="L20" s="309">
        <v>1669.78</v>
      </c>
      <c r="M20" s="309">
        <v>0</v>
      </c>
      <c r="N20" s="309">
        <v>0</v>
      </c>
      <c r="O20" s="309">
        <v>0</v>
      </c>
      <c r="P20" s="309">
        <v>0</v>
      </c>
      <c r="Q20" s="309">
        <v>0</v>
      </c>
      <c r="R20" s="309">
        <v>0</v>
      </c>
      <c r="S20" s="310">
        <f t="shared" si="2"/>
        <v>9394.78</v>
      </c>
    </row>
    <row r="21" spans="1:19" s="190" customFormat="1" ht="14.25" customHeight="1">
      <c r="A21" s="221" t="s">
        <v>228</v>
      </c>
      <c r="B21" s="224" t="s">
        <v>55</v>
      </c>
      <c r="C21" s="225" t="s">
        <v>54</v>
      </c>
      <c r="D21" s="309">
        <v>0</v>
      </c>
      <c r="E21" s="309">
        <v>0</v>
      </c>
      <c r="F21" s="309">
        <v>0</v>
      </c>
      <c r="G21" s="309">
        <v>13155.4</v>
      </c>
      <c r="H21" s="309">
        <v>40868</v>
      </c>
      <c r="I21" s="309">
        <v>2242</v>
      </c>
      <c r="J21" s="309">
        <v>2587</v>
      </c>
      <c r="K21" s="309">
        <v>0</v>
      </c>
      <c r="L21" s="309">
        <v>24958.15</v>
      </c>
      <c r="M21" s="309">
        <v>1991</v>
      </c>
      <c r="N21" s="309">
        <v>0</v>
      </c>
      <c r="O21" s="309">
        <v>10534</v>
      </c>
      <c r="P21" s="309">
        <v>0</v>
      </c>
      <c r="Q21" s="309">
        <v>0</v>
      </c>
      <c r="R21" s="309">
        <v>0</v>
      </c>
      <c r="S21" s="310">
        <f t="shared" si="2"/>
        <v>96335.55</v>
      </c>
    </row>
    <row r="22" spans="1:19" s="190" customFormat="1" ht="14.25" customHeight="1">
      <c r="A22" s="221" t="s">
        <v>229</v>
      </c>
      <c r="B22" s="224" t="s">
        <v>230</v>
      </c>
      <c r="C22" s="225" t="s">
        <v>56</v>
      </c>
      <c r="D22" s="309">
        <v>3807</v>
      </c>
      <c r="E22" s="309">
        <v>0</v>
      </c>
      <c r="F22" s="309">
        <v>0</v>
      </c>
      <c r="G22" s="309">
        <v>4185.35</v>
      </c>
      <c r="H22" s="309">
        <v>6362</v>
      </c>
      <c r="I22" s="309">
        <v>9164.69</v>
      </c>
      <c r="J22" s="309">
        <v>20162</v>
      </c>
      <c r="K22" s="309">
        <v>1800</v>
      </c>
      <c r="L22" s="309">
        <v>131071.36</v>
      </c>
      <c r="M22" s="309">
        <v>295389</v>
      </c>
      <c r="N22" s="309">
        <v>2200</v>
      </c>
      <c r="O22" s="309">
        <v>-26104</v>
      </c>
      <c r="P22" s="309">
        <v>6900</v>
      </c>
      <c r="Q22" s="309">
        <v>1200</v>
      </c>
      <c r="R22" s="309">
        <v>2400</v>
      </c>
      <c r="S22" s="310">
        <f t="shared" si="2"/>
        <v>458537.4</v>
      </c>
    </row>
    <row r="23" spans="1:19" s="190" customFormat="1" ht="14.25" customHeight="1">
      <c r="A23" s="221" t="s">
        <v>231</v>
      </c>
      <c r="B23" s="224" t="s">
        <v>58</v>
      </c>
      <c r="C23" s="225" t="s">
        <v>57</v>
      </c>
      <c r="D23" s="309">
        <v>0</v>
      </c>
      <c r="E23" s="309">
        <v>0</v>
      </c>
      <c r="F23" s="309">
        <v>0</v>
      </c>
      <c r="G23" s="309">
        <v>604.2</v>
      </c>
      <c r="H23" s="309">
        <v>5400</v>
      </c>
      <c r="I23" s="309">
        <v>0</v>
      </c>
      <c r="J23" s="309">
        <v>0</v>
      </c>
      <c r="K23" s="309">
        <v>0</v>
      </c>
      <c r="L23" s="309">
        <v>0</v>
      </c>
      <c r="M23" s="309">
        <v>0</v>
      </c>
      <c r="N23" s="309">
        <v>0</v>
      </c>
      <c r="O23" s="309">
        <v>2293</v>
      </c>
      <c r="P23" s="309">
        <v>0</v>
      </c>
      <c r="Q23" s="309">
        <v>0</v>
      </c>
      <c r="R23" s="309">
        <v>600</v>
      </c>
      <c r="S23" s="310">
        <f t="shared" si="2"/>
        <v>8897.2</v>
      </c>
    </row>
    <row r="24" spans="1:19" s="190" customFormat="1" ht="14.25" customHeight="1">
      <c r="A24" s="221" t="s">
        <v>232</v>
      </c>
      <c r="B24" s="224" t="s">
        <v>233</v>
      </c>
      <c r="C24" s="225" t="s">
        <v>59</v>
      </c>
      <c r="D24" s="309">
        <v>0</v>
      </c>
      <c r="E24" s="309">
        <v>6896</v>
      </c>
      <c r="F24" s="309">
        <v>450</v>
      </c>
      <c r="G24" s="309">
        <v>0</v>
      </c>
      <c r="H24" s="309">
        <v>643</v>
      </c>
      <c r="I24" s="309">
        <v>2500</v>
      </c>
      <c r="J24" s="309">
        <v>0</v>
      </c>
      <c r="K24" s="309">
        <v>0</v>
      </c>
      <c r="L24" s="309">
        <v>4717.27</v>
      </c>
      <c r="M24" s="309">
        <v>11508</v>
      </c>
      <c r="N24" s="309">
        <v>0</v>
      </c>
      <c r="O24" s="309">
        <v>9314</v>
      </c>
      <c r="P24" s="309">
        <v>3764</v>
      </c>
      <c r="Q24" s="309">
        <v>5000</v>
      </c>
      <c r="R24" s="309">
        <v>1828</v>
      </c>
      <c r="S24" s="310">
        <f t="shared" si="2"/>
        <v>46620.270000000004</v>
      </c>
    </row>
    <row r="25" spans="1:19" s="190" customFormat="1" ht="14.25" customHeight="1">
      <c r="A25" s="221" t="s">
        <v>234</v>
      </c>
      <c r="B25" s="224" t="s">
        <v>64</v>
      </c>
      <c r="C25" s="225" t="s">
        <v>60</v>
      </c>
      <c r="D25" s="309">
        <v>0</v>
      </c>
      <c r="E25" s="309">
        <v>0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09">
        <v>22155</v>
      </c>
      <c r="N25" s="309">
        <v>0</v>
      </c>
      <c r="O25" s="309">
        <v>0</v>
      </c>
      <c r="P25" s="309">
        <v>0</v>
      </c>
      <c r="Q25" s="309">
        <v>0</v>
      </c>
      <c r="R25" s="309">
        <v>0</v>
      </c>
      <c r="S25" s="310">
        <f t="shared" si="2"/>
        <v>22155</v>
      </c>
    </row>
    <row r="26" spans="1:19" s="190" customFormat="1" ht="14.25" customHeight="1">
      <c r="A26" s="221" t="s">
        <v>235</v>
      </c>
      <c r="B26" s="224" t="s">
        <v>72</v>
      </c>
      <c r="C26" s="225" t="s">
        <v>61</v>
      </c>
      <c r="D26" s="309">
        <v>0</v>
      </c>
      <c r="E26" s="309">
        <v>0</v>
      </c>
      <c r="F26" s="309">
        <v>0</v>
      </c>
      <c r="G26" s="309">
        <v>0</v>
      </c>
      <c r="H26" s="309">
        <v>0</v>
      </c>
      <c r="I26" s="309">
        <v>0</v>
      </c>
      <c r="J26" s="309">
        <v>0</v>
      </c>
      <c r="K26" s="309">
        <v>0</v>
      </c>
      <c r="L26" s="309">
        <v>6727.35</v>
      </c>
      <c r="M26" s="309">
        <v>0</v>
      </c>
      <c r="N26" s="309">
        <v>0</v>
      </c>
      <c r="O26" s="309">
        <v>0</v>
      </c>
      <c r="P26" s="309">
        <v>0</v>
      </c>
      <c r="Q26" s="309">
        <v>0</v>
      </c>
      <c r="R26" s="309">
        <v>0</v>
      </c>
      <c r="S26" s="310">
        <f t="shared" si="2"/>
        <v>6727.35</v>
      </c>
    </row>
    <row r="27" spans="1:19" s="190" customFormat="1" ht="14.25" customHeight="1">
      <c r="A27" s="221" t="s">
        <v>236</v>
      </c>
      <c r="B27" s="224" t="s">
        <v>66</v>
      </c>
      <c r="C27" s="225" t="s">
        <v>237</v>
      </c>
      <c r="D27" s="309">
        <v>0</v>
      </c>
      <c r="E27" s="309">
        <v>0</v>
      </c>
      <c r="F27" s="309">
        <v>0</v>
      </c>
      <c r="G27" s="309">
        <v>0</v>
      </c>
      <c r="H27" s="309">
        <v>142449.19</v>
      </c>
      <c r="I27" s="309">
        <v>0</v>
      </c>
      <c r="J27" s="309">
        <v>97</v>
      </c>
      <c r="K27" s="309">
        <v>0</v>
      </c>
      <c r="L27" s="309">
        <v>0</v>
      </c>
      <c r="M27" s="309">
        <v>0</v>
      </c>
      <c r="N27" s="309">
        <v>0</v>
      </c>
      <c r="O27" s="309">
        <v>0</v>
      </c>
      <c r="P27" s="309">
        <v>0</v>
      </c>
      <c r="Q27" s="309">
        <v>0</v>
      </c>
      <c r="R27" s="309">
        <v>0</v>
      </c>
      <c r="S27" s="310">
        <f t="shared" si="2"/>
        <v>142546.19</v>
      </c>
    </row>
    <row r="28" spans="1:19" s="190" customFormat="1" ht="14.25" customHeight="1">
      <c r="A28" s="221" t="s">
        <v>238</v>
      </c>
      <c r="B28" s="224" t="s">
        <v>239</v>
      </c>
      <c r="C28" s="225" t="s">
        <v>65</v>
      </c>
      <c r="D28" s="309">
        <v>0</v>
      </c>
      <c r="E28" s="309">
        <v>0</v>
      </c>
      <c r="F28" s="309">
        <v>0</v>
      </c>
      <c r="G28" s="309">
        <v>0</v>
      </c>
      <c r="H28" s="309">
        <v>0</v>
      </c>
      <c r="I28" s="309">
        <v>108000</v>
      </c>
      <c r="J28" s="309">
        <v>0</v>
      </c>
      <c r="K28" s="309">
        <v>0</v>
      </c>
      <c r="L28" s="309">
        <v>0</v>
      </c>
      <c r="M28" s="309">
        <v>0</v>
      </c>
      <c r="N28" s="309">
        <v>0</v>
      </c>
      <c r="O28" s="309">
        <v>0</v>
      </c>
      <c r="P28" s="309">
        <v>0</v>
      </c>
      <c r="Q28" s="309">
        <v>0</v>
      </c>
      <c r="R28" s="309">
        <v>0</v>
      </c>
      <c r="S28" s="310">
        <f t="shared" si="2"/>
        <v>108000</v>
      </c>
    </row>
    <row r="29" spans="1:19" s="190" customFormat="1" ht="14.25" customHeight="1">
      <c r="A29" s="221" t="s">
        <v>240</v>
      </c>
      <c r="B29" s="224" t="s">
        <v>241</v>
      </c>
      <c r="C29" s="225" t="s">
        <v>68</v>
      </c>
      <c r="D29" s="309">
        <v>206866</v>
      </c>
      <c r="E29" s="309">
        <v>345593</v>
      </c>
      <c r="F29" s="309">
        <v>1629929.04</v>
      </c>
      <c r="G29" s="309">
        <v>324615.94</v>
      </c>
      <c r="H29" s="309">
        <v>4059705.6</v>
      </c>
      <c r="I29" s="309">
        <v>4932585</v>
      </c>
      <c r="J29" s="309">
        <v>2969449.1</v>
      </c>
      <c r="K29" s="309">
        <v>829902.22</v>
      </c>
      <c r="L29" s="309">
        <v>2717929.93</v>
      </c>
      <c r="M29" s="309">
        <v>31441300.9</v>
      </c>
      <c r="N29" s="309">
        <v>0</v>
      </c>
      <c r="O29" s="309">
        <v>3428446</v>
      </c>
      <c r="P29" s="309">
        <v>22110263</v>
      </c>
      <c r="Q29" s="309">
        <v>218427</v>
      </c>
      <c r="R29" s="309">
        <v>1016500</v>
      </c>
      <c r="S29" s="310">
        <f t="shared" si="2"/>
        <v>76231512.73</v>
      </c>
    </row>
    <row r="30" spans="1:19" s="190" customFormat="1" ht="14.25" customHeight="1">
      <c r="A30" s="311" t="s">
        <v>242</v>
      </c>
      <c r="B30" s="312" t="s">
        <v>243</v>
      </c>
      <c r="C30" s="225" t="s">
        <v>69</v>
      </c>
      <c r="D30" s="309">
        <v>0</v>
      </c>
      <c r="E30" s="309">
        <v>0</v>
      </c>
      <c r="F30" s="309">
        <v>0</v>
      </c>
      <c r="G30" s="309">
        <v>0</v>
      </c>
      <c r="H30" s="309">
        <v>0</v>
      </c>
      <c r="I30" s="309">
        <v>0</v>
      </c>
      <c r="J30" s="309">
        <v>0</v>
      </c>
      <c r="K30" s="309">
        <v>0</v>
      </c>
      <c r="L30" s="309">
        <v>0</v>
      </c>
      <c r="M30" s="309">
        <v>0</v>
      </c>
      <c r="N30" s="309">
        <v>0</v>
      </c>
      <c r="O30" s="309">
        <v>0</v>
      </c>
      <c r="P30" s="309">
        <v>0</v>
      </c>
      <c r="Q30" s="309">
        <v>0</v>
      </c>
      <c r="R30" s="309">
        <v>0</v>
      </c>
      <c r="S30" s="310">
        <f t="shared" si="2"/>
        <v>0</v>
      </c>
    </row>
    <row r="31" spans="1:19" s="190" customFormat="1" ht="14.25" customHeight="1">
      <c r="A31" s="311" t="s">
        <v>244</v>
      </c>
      <c r="B31" s="312" t="s">
        <v>245</v>
      </c>
      <c r="C31" s="225" t="s">
        <v>70</v>
      </c>
      <c r="D31" s="309"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  <c r="J31" s="309">
        <v>0</v>
      </c>
      <c r="K31" s="309">
        <v>0</v>
      </c>
      <c r="L31" s="309">
        <v>0</v>
      </c>
      <c r="M31" s="309">
        <v>0</v>
      </c>
      <c r="N31" s="309">
        <v>0</v>
      </c>
      <c r="O31" s="309">
        <v>0</v>
      </c>
      <c r="P31" s="309">
        <v>0</v>
      </c>
      <c r="Q31" s="309">
        <v>0</v>
      </c>
      <c r="R31" s="309">
        <v>0</v>
      </c>
      <c r="S31" s="310">
        <f t="shared" si="2"/>
        <v>0</v>
      </c>
    </row>
    <row r="32" spans="1:19" s="190" customFormat="1" ht="14.25" customHeight="1">
      <c r="A32" s="221" t="s">
        <v>246</v>
      </c>
      <c r="B32" s="224" t="s">
        <v>247</v>
      </c>
      <c r="C32" s="225" t="s">
        <v>71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09">
        <v>0</v>
      </c>
      <c r="M32" s="309">
        <v>0</v>
      </c>
      <c r="N32" s="309">
        <v>0</v>
      </c>
      <c r="O32" s="309">
        <v>0</v>
      </c>
      <c r="P32" s="309">
        <v>0</v>
      </c>
      <c r="Q32" s="309">
        <v>0</v>
      </c>
      <c r="R32" s="309">
        <v>0</v>
      </c>
      <c r="S32" s="310">
        <f t="shared" si="2"/>
        <v>0</v>
      </c>
    </row>
    <row r="33" spans="1:19" s="190" customFormat="1" ht="14.25" customHeight="1">
      <c r="A33" s="221" t="s">
        <v>248</v>
      </c>
      <c r="B33" s="224" t="s">
        <v>249</v>
      </c>
      <c r="C33" s="225" t="s">
        <v>250</v>
      </c>
      <c r="D33" s="309">
        <v>0</v>
      </c>
      <c r="E33" s="309">
        <v>0</v>
      </c>
      <c r="F33" s="309">
        <v>0</v>
      </c>
      <c r="G33" s="309">
        <v>0</v>
      </c>
      <c r="H33" s="309">
        <v>0</v>
      </c>
      <c r="I33" s="309">
        <v>0</v>
      </c>
      <c r="J33" s="309">
        <v>2585756</v>
      </c>
      <c r="K33" s="309">
        <v>0</v>
      </c>
      <c r="L33" s="309">
        <v>0</v>
      </c>
      <c r="M33" s="309">
        <v>0</v>
      </c>
      <c r="N33" s="309">
        <v>0</v>
      </c>
      <c r="O33" s="309">
        <v>0</v>
      </c>
      <c r="P33" s="309">
        <v>0</v>
      </c>
      <c r="Q33" s="309">
        <v>0</v>
      </c>
      <c r="R33" s="309">
        <v>0</v>
      </c>
      <c r="S33" s="310">
        <f t="shared" si="2"/>
        <v>2585756</v>
      </c>
    </row>
    <row r="34" spans="1:19" s="190" customFormat="1" ht="14.25" customHeight="1">
      <c r="A34" s="221" t="s">
        <v>251</v>
      </c>
      <c r="B34" s="224" t="s">
        <v>252</v>
      </c>
      <c r="C34" s="225" t="s">
        <v>73</v>
      </c>
      <c r="D34" s="309">
        <v>0</v>
      </c>
      <c r="E34" s="309">
        <v>0</v>
      </c>
      <c r="F34" s="309">
        <v>0</v>
      </c>
      <c r="G34" s="309">
        <v>0</v>
      </c>
      <c r="H34" s="309">
        <v>778459.72</v>
      </c>
      <c r="I34" s="309">
        <v>5116</v>
      </c>
      <c r="J34" s="309">
        <v>0</v>
      </c>
      <c r="K34" s="309">
        <v>0</v>
      </c>
      <c r="L34" s="309">
        <v>0</v>
      </c>
      <c r="M34" s="309">
        <v>0</v>
      </c>
      <c r="N34" s="309">
        <v>0</v>
      </c>
      <c r="O34" s="309">
        <v>-6852</v>
      </c>
      <c r="P34" s="309">
        <v>0</v>
      </c>
      <c r="Q34" s="309">
        <v>0</v>
      </c>
      <c r="R34" s="309">
        <v>-58464.66</v>
      </c>
      <c r="S34" s="310">
        <f t="shared" si="2"/>
        <v>718259.0599999999</v>
      </c>
    </row>
    <row r="35" spans="1:19" s="190" customFormat="1" ht="14.25" customHeight="1">
      <c r="A35" s="221" t="s">
        <v>253</v>
      </c>
      <c r="B35" s="224" t="s">
        <v>254</v>
      </c>
      <c r="C35" s="225" t="s">
        <v>255</v>
      </c>
      <c r="D35" s="309">
        <v>0</v>
      </c>
      <c r="E35" s="309">
        <v>0</v>
      </c>
      <c r="F35" s="309">
        <v>0</v>
      </c>
      <c r="G35" s="309">
        <v>0</v>
      </c>
      <c r="H35" s="309">
        <v>77929.87</v>
      </c>
      <c r="I35" s="309">
        <v>0</v>
      </c>
      <c r="J35" s="309">
        <v>0</v>
      </c>
      <c r="K35" s="309">
        <v>0</v>
      </c>
      <c r="L35" s="309">
        <v>0</v>
      </c>
      <c r="M35" s="309">
        <v>0</v>
      </c>
      <c r="N35" s="309">
        <v>0</v>
      </c>
      <c r="O35" s="309">
        <v>0</v>
      </c>
      <c r="P35" s="309">
        <v>0</v>
      </c>
      <c r="Q35" s="309">
        <v>0</v>
      </c>
      <c r="R35" s="309">
        <v>316853.35</v>
      </c>
      <c r="S35" s="310">
        <f t="shared" si="2"/>
        <v>394783.22</v>
      </c>
    </row>
    <row r="36" spans="1:19" s="190" customFormat="1" ht="14.25" customHeight="1">
      <c r="A36" s="221" t="s">
        <v>256</v>
      </c>
      <c r="B36" s="226" t="s">
        <v>257</v>
      </c>
      <c r="C36" s="225" t="s">
        <v>67</v>
      </c>
      <c r="D36" s="313">
        <v>406304.21</v>
      </c>
      <c r="E36" s="313">
        <v>58416.9</v>
      </c>
      <c r="F36" s="313">
        <v>96983</v>
      </c>
      <c r="G36" s="313">
        <v>32490.44</v>
      </c>
      <c r="H36" s="313">
        <v>358961.62</v>
      </c>
      <c r="I36" s="313">
        <v>15478791.3</v>
      </c>
      <c r="J36" s="313">
        <v>635428.11</v>
      </c>
      <c r="K36" s="313">
        <v>0</v>
      </c>
      <c r="L36" s="313">
        <v>712845.08</v>
      </c>
      <c r="M36" s="313">
        <v>269102.98</v>
      </c>
      <c r="N36" s="313">
        <v>8632858.51</v>
      </c>
      <c r="O36" s="313">
        <v>1557202.23</v>
      </c>
      <c r="P36" s="313">
        <v>291620.72</v>
      </c>
      <c r="Q36" s="313">
        <v>45392.2</v>
      </c>
      <c r="R36" s="313">
        <v>0</v>
      </c>
      <c r="S36" s="314">
        <f t="shared" si="2"/>
        <v>28576397.299999997</v>
      </c>
    </row>
    <row r="37" spans="1:19" s="190" customFormat="1" ht="14.25" customHeight="1">
      <c r="A37" s="227" t="s">
        <v>258</v>
      </c>
      <c r="B37" s="228" t="s">
        <v>259</v>
      </c>
      <c r="C37" s="220"/>
      <c r="D37" s="305">
        <f aca="true" t="shared" si="3" ref="D37:R37">SUM(D38:D41)</f>
        <v>27</v>
      </c>
      <c r="E37" s="305">
        <f>SUM(E38:E41)</f>
        <v>19</v>
      </c>
      <c r="F37" s="305">
        <f t="shared" si="3"/>
        <v>15481.14</v>
      </c>
      <c r="G37" s="305">
        <f>SUM(G38:G41)</f>
        <v>5478.48</v>
      </c>
      <c r="H37" s="305">
        <f t="shared" si="3"/>
        <v>63689.369999999995</v>
      </c>
      <c r="I37" s="305">
        <f>SUM(I38:I41)</f>
        <v>1753831.83</v>
      </c>
      <c r="J37" s="305">
        <f t="shared" si="3"/>
        <v>14268.81</v>
      </c>
      <c r="K37" s="305">
        <f t="shared" si="3"/>
        <v>76111.16</v>
      </c>
      <c r="L37" s="305">
        <f t="shared" si="3"/>
        <v>47699.8</v>
      </c>
      <c r="M37" s="305">
        <f t="shared" si="3"/>
        <v>855872.26</v>
      </c>
      <c r="N37" s="305">
        <f t="shared" si="3"/>
        <v>1444437.63</v>
      </c>
      <c r="O37" s="305">
        <f t="shared" si="3"/>
        <v>165642.81</v>
      </c>
      <c r="P37" s="305">
        <f t="shared" si="3"/>
        <v>39061.13</v>
      </c>
      <c r="Q37" s="305">
        <f t="shared" si="3"/>
        <v>32164.96</v>
      </c>
      <c r="R37" s="305">
        <f t="shared" si="3"/>
        <v>230105.43</v>
      </c>
      <c r="S37" s="306">
        <f t="shared" si="2"/>
        <v>4743890.81</v>
      </c>
    </row>
    <row r="38" spans="1:19" s="190" customFormat="1" ht="14.25" customHeight="1">
      <c r="A38" s="221" t="s">
        <v>212</v>
      </c>
      <c r="B38" s="229" t="s">
        <v>62</v>
      </c>
      <c r="C38" s="225" t="s">
        <v>260</v>
      </c>
      <c r="D38" s="309">
        <v>0</v>
      </c>
      <c r="E38" s="309">
        <v>0</v>
      </c>
      <c r="F38" s="309">
        <v>0</v>
      </c>
      <c r="G38" s="309">
        <v>0</v>
      </c>
      <c r="H38" s="309">
        <v>0</v>
      </c>
      <c r="I38" s="309">
        <v>0</v>
      </c>
      <c r="J38" s="309">
        <v>0</v>
      </c>
      <c r="K38" s="309">
        <v>0</v>
      </c>
      <c r="L38" s="309">
        <v>0</v>
      </c>
      <c r="M38" s="309">
        <v>0</v>
      </c>
      <c r="N38" s="309">
        <v>0</v>
      </c>
      <c r="O38" s="309">
        <v>0</v>
      </c>
      <c r="P38" s="309">
        <v>0</v>
      </c>
      <c r="Q38" s="309">
        <v>0</v>
      </c>
      <c r="R38" s="309">
        <v>0</v>
      </c>
      <c r="S38" s="310">
        <f t="shared" si="2"/>
        <v>0</v>
      </c>
    </row>
    <row r="39" spans="1:19" s="190" customFormat="1" ht="14.25" customHeight="1">
      <c r="A39" s="221" t="s">
        <v>213</v>
      </c>
      <c r="B39" s="229" t="s">
        <v>63</v>
      </c>
      <c r="C39" s="225" t="s">
        <v>261</v>
      </c>
      <c r="D39" s="309">
        <v>0</v>
      </c>
      <c r="E39" s="309">
        <v>19</v>
      </c>
      <c r="F39" s="309">
        <v>0</v>
      </c>
      <c r="G39" s="309">
        <v>0</v>
      </c>
      <c r="H39" s="309">
        <v>17525.8</v>
      </c>
      <c r="I39" s="309">
        <v>1753831.83</v>
      </c>
      <c r="J39" s="309">
        <v>14268.81</v>
      </c>
      <c r="K39" s="309">
        <v>1010.56</v>
      </c>
      <c r="L39" s="309">
        <v>47699.8</v>
      </c>
      <c r="M39" s="309">
        <v>37101.54</v>
      </c>
      <c r="N39" s="309">
        <v>1444437.63</v>
      </c>
      <c r="O39" s="309">
        <v>985.81</v>
      </c>
      <c r="P39" s="309">
        <v>12910.94</v>
      </c>
      <c r="Q39" s="309">
        <v>7081.01</v>
      </c>
      <c r="R39" s="309">
        <v>96437.51</v>
      </c>
      <c r="S39" s="310">
        <f t="shared" si="2"/>
        <v>3433310.2399999998</v>
      </c>
    </row>
    <row r="40" spans="1:19" s="190" customFormat="1" ht="14.25" customHeight="1">
      <c r="A40" s="221" t="s">
        <v>215</v>
      </c>
      <c r="B40" s="229" t="s">
        <v>262</v>
      </c>
      <c r="C40" s="225" t="s">
        <v>263</v>
      </c>
      <c r="D40" s="309">
        <v>0</v>
      </c>
      <c r="E40" s="309">
        <v>0</v>
      </c>
      <c r="F40" s="309">
        <v>0</v>
      </c>
      <c r="G40" s="309">
        <v>0</v>
      </c>
      <c r="H40" s="309">
        <v>0</v>
      </c>
      <c r="I40" s="309">
        <v>0</v>
      </c>
      <c r="J40" s="309">
        <v>0</v>
      </c>
      <c r="K40" s="309">
        <v>0</v>
      </c>
      <c r="L40" s="309">
        <v>0</v>
      </c>
      <c r="M40" s="309">
        <v>0</v>
      </c>
      <c r="N40" s="309">
        <v>0</v>
      </c>
      <c r="O40" s="309">
        <v>0</v>
      </c>
      <c r="P40" s="309">
        <v>0</v>
      </c>
      <c r="Q40" s="309">
        <v>0</v>
      </c>
      <c r="R40" s="309">
        <v>0</v>
      </c>
      <c r="S40" s="310">
        <f t="shared" si="2"/>
        <v>0</v>
      </c>
    </row>
    <row r="41" spans="1:19" s="190" customFormat="1" ht="14.25" customHeight="1">
      <c r="A41" s="221" t="s">
        <v>216</v>
      </c>
      <c r="B41" s="229" t="s">
        <v>264</v>
      </c>
      <c r="C41" s="225" t="s">
        <v>265</v>
      </c>
      <c r="D41" s="309">
        <v>27</v>
      </c>
      <c r="E41" s="309">
        <v>0</v>
      </c>
      <c r="F41" s="309">
        <v>15481.14</v>
      </c>
      <c r="G41" s="309">
        <v>5478.48</v>
      </c>
      <c r="H41" s="309">
        <v>46163.57</v>
      </c>
      <c r="I41" s="309">
        <v>0</v>
      </c>
      <c r="J41" s="309">
        <v>0</v>
      </c>
      <c r="K41" s="309">
        <v>75100.6</v>
      </c>
      <c r="L41" s="309">
        <v>0</v>
      </c>
      <c r="M41" s="309">
        <v>818770.72</v>
      </c>
      <c r="N41" s="309">
        <v>0</v>
      </c>
      <c r="O41" s="309">
        <v>164657</v>
      </c>
      <c r="P41" s="309">
        <v>26150.19</v>
      </c>
      <c r="Q41" s="309">
        <v>25083.95</v>
      </c>
      <c r="R41" s="309">
        <v>133667.92</v>
      </c>
      <c r="S41" s="310">
        <f t="shared" si="2"/>
        <v>1310580.5699999998</v>
      </c>
    </row>
    <row r="42" spans="1:19" s="190" customFormat="1" ht="15.75">
      <c r="A42" s="230" t="s">
        <v>266</v>
      </c>
      <c r="B42" s="231" t="s">
        <v>415</v>
      </c>
      <c r="C42" s="232"/>
      <c r="D42" s="305">
        <f aca="true" t="shared" si="4" ref="D42:R42">SUM(D43:D45)</f>
        <v>0</v>
      </c>
      <c r="E42" s="305">
        <f>SUM(E43:E45)</f>
        <v>0</v>
      </c>
      <c r="F42" s="305">
        <f t="shared" si="4"/>
        <v>0</v>
      </c>
      <c r="G42" s="305">
        <f>SUM(G43:G45)</f>
        <v>0</v>
      </c>
      <c r="H42" s="305">
        <f t="shared" si="4"/>
        <v>0</v>
      </c>
      <c r="I42" s="305">
        <f>SUM(I43:I45)</f>
        <v>0</v>
      </c>
      <c r="J42" s="305">
        <f t="shared" si="4"/>
        <v>0</v>
      </c>
      <c r="K42" s="305">
        <f t="shared" si="4"/>
        <v>0</v>
      </c>
      <c r="L42" s="305">
        <f t="shared" si="4"/>
        <v>0</v>
      </c>
      <c r="M42" s="305">
        <f t="shared" si="4"/>
        <v>0</v>
      </c>
      <c r="N42" s="305">
        <f t="shared" si="4"/>
        <v>0</v>
      </c>
      <c r="O42" s="305">
        <f t="shared" si="4"/>
        <v>0</v>
      </c>
      <c r="P42" s="305">
        <f t="shared" si="4"/>
        <v>0</v>
      </c>
      <c r="Q42" s="305">
        <f t="shared" si="4"/>
        <v>0</v>
      </c>
      <c r="R42" s="305">
        <f t="shared" si="4"/>
        <v>0</v>
      </c>
      <c r="S42" s="306">
        <f t="shared" si="2"/>
        <v>0</v>
      </c>
    </row>
    <row r="43" spans="1:19" s="190" customFormat="1" ht="14.25" customHeight="1">
      <c r="A43" s="221" t="s">
        <v>211</v>
      </c>
      <c r="B43" s="229" t="s">
        <v>267</v>
      </c>
      <c r="C43" s="225" t="s">
        <v>268</v>
      </c>
      <c r="D43" s="309">
        <v>0</v>
      </c>
      <c r="E43" s="309">
        <v>0</v>
      </c>
      <c r="F43" s="309">
        <v>0</v>
      </c>
      <c r="G43" s="309">
        <v>0</v>
      </c>
      <c r="H43" s="309">
        <v>0</v>
      </c>
      <c r="I43" s="309">
        <v>0</v>
      </c>
      <c r="J43" s="309">
        <v>0</v>
      </c>
      <c r="K43" s="309">
        <v>0</v>
      </c>
      <c r="L43" s="309">
        <v>0</v>
      </c>
      <c r="M43" s="309">
        <v>0</v>
      </c>
      <c r="N43" s="309">
        <v>0</v>
      </c>
      <c r="O43" s="309">
        <v>0</v>
      </c>
      <c r="P43" s="309">
        <v>0</v>
      </c>
      <c r="Q43" s="309">
        <v>0</v>
      </c>
      <c r="R43" s="309">
        <v>0</v>
      </c>
      <c r="S43" s="310">
        <f t="shared" si="2"/>
        <v>0</v>
      </c>
    </row>
    <row r="44" spans="1:19" s="190" customFormat="1" ht="14.25" customHeight="1">
      <c r="A44" s="311" t="s">
        <v>212</v>
      </c>
      <c r="B44" s="315" t="s">
        <v>269</v>
      </c>
      <c r="C44" s="225" t="s">
        <v>270</v>
      </c>
      <c r="D44" s="309">
        <v>0</v>
      </c>
      <c r="E44" s="309">
        <v>0</v>
      </c>
      <c r="F44" s="309">
        <v>0</v>
      </c>
      <c r="G44" s="309">
        <v>0</v>
      </c>
      <c r="H44" s="309">
        <v>0</v>
      </c>
      <c r="I44" s="309">
        <v>0</v>
      </c>
      <c r="J44" s="309">
        <v>0</v>
      </c>
      <c r="K44" s="309">
        <v>0</v>
      </c>
      <c r="L44" s="309">
        <v>0</v>
      </c>
      <c r="M44" s="309">
        <v>0</v>
      </c>
      <c r="N44" s="309">
        <v>0</v>
      </c>
      <c r="O44" s="309">
        <v>0</v>
      </c>
      <c r="P44" s="309">
        <v>0</v>
      </c>
      <c r="Q44" s="309">
        <v>0</v>
      </c>
      <c r="R44" s="309">
        <v>0</v>
      </c>
      <c r="S44" s="310">
        <f t="shared" si="2"/>
        <v>0</v>
      </c>
    </row>
    <row r="45" spans="1:19" s="190" customFormat="1" ht="14.25" customHeight="1" thickBot="1">
      <c r="A45" s="233"/>
      <c r="B45" s="234"/>
      <c r="C45" s="235"/>
      <c r="D45" s="316">
        <v>0</v>
      </c>
      <c r="E45" s="316">
        <v>0</v>
      </c>
      <c r="F45" s="316">
        <v>0</v>
      </c>
      <c r="G45" s="316">
        <v>0</v>
      </c>
      <c r="H45" s="316">
        <v>0</v>
      </c>
      <c r="I45" s="316">
        <v>0</v>
      </c>
      <c r="J45" s="316">
        <v>0</v>
      </c>
      <c r="K45" s="316">
        <v>0</v>
      </c>
      <c r="L45" s="316">
        <v>0</v>
      </c>
      <c r="M45" s="316">
        <v>0</v>
      </c>
      <c r="N45" s="316">
        <v>0</v>
      </c>
      <c r="O45" s="316">
        <v>0</v>
      </c>
      <c r="P45" s="316">
        <v>0</v>
      </c>
      <c r="Q45" s="316">
        <v>0</v>
      </c>
      <c r="R45" s="316">
        <v>0</v>
      </c>
      <c r="S45" s="317">
        <f t="shared" si="2"/>
        <v>0</v>
      </c>
    </row>
    <row r="46" spans="1:20" s="190" customFormat="1" ht="12.75" customHeight="1">
      <c r="A46" s="236" t="s">
        <v>271</v>
      </c>
      <c r="B46" s="237" t="s">
        <v>416</v>
      </c>
      <c r="C46" s="216"/>
      <c r="D46" s="318">
        <f aca="true" t="shared" si="5" ref="D46:R46">SUM(D47,D70,D75)</f>
        <v>60932964.080000006</v>
      </c>
      <c r="E46" s="318">
        <f>SUM(E47,E70,E75)</f>
        <v>29212353.490000002</v>
      </c>
      <c r="F46" s="318">
        <f t="shared" si="5"/>
        <v>5508637.42</v>
      </c>
      <c r="G46" s="318">
        <f>SUM(G47,G70,G75)</f>
        <v>3710588.5100000002</v>
      </c>
      <c r="H46" s="318">
        <f t="shared" si="5"/>
        <v>101298456.50999999</v>
      </c>
      <c r="I46" s="318">
        <f>SUM(I47,I70,I75)</f>
        <v>157117647.96</v>
      </c>
      <c r="J46" s="318">
        <f t="shared" si="5"/>
        <v>408098250.42</v>
      </c>
      <c r="K46" s="318">
        <f t="shared" si="5"/>
        <v>23123281.96</v>
      </c>
      <c r="L46" s="318">
        <f t="shared" si="5"/>
        <v>129798810.58000001</v>
      </c>
      <c r="M46" s="318">
        <f t="shared" si="5"/>
        <v>335343456.38</v>
      </c>
      <c r="N46" s="318">
        <f t="shared" si="5"/>
        <v>12727870.94</v>
      </c>
      <c r="O46" s="318">
        <f t="shared" si="5"/>
        <v>129221276.17</v>
      </c>
      <c r="P46" s="318">
        <f t="shared" si="5"/>
        <v>274108608.48</v>
      </c>
      <c r="Q46" s="318">
        <f t="shared" si="5"/>
        <v>6149153.29</v>
      </c>
      <c r="R46" s="319">
        <f t="shared" si="5"/>
        <v>14511728.73</v>
      </c>
      <c r="S46" s="320">
        <f t="shared" si="2"/>
        <v>1690863084.9200003</v>
      </c>
      <c r="T46" s="552"/>
    </row>
    <row r="47" spans="1:20" s="190" customFormat="1" ht="12.75" customHeight="1">
      <c r="A47" s="227" t="s">
        <v>209</v>
      </c>
      <c r="B47" s="228" t="s">
        <v>272</v>
      </c>
      <c r="C47" s="220"/>
      <c r="D47" s="321">
        <f aca="true" t="shared" si="6" ref="D47:R47">SUM(D48:D69)</f>
        <v>35960332.480000004</v>
      </c>
      <c r="E47" s="321">
        <f>SUM(E48:E69)</f>
        <v>9553370.47</v>
      </c>
      <c r="F47" s="321">
        <f t="shared" si="6"/>
        <v>3137703.3800000004</v>
      </c>
      <c r="G47" s="321">
        <f>SUM(G48:G69)</f>
        <v>984346.0800000001</v>
      </c>
      <c r="H47" s="321">
        <f t="shared" si="6"/>
        <v>26481279.130000003</v>
      </c>
      <c r="I47" s="321">
        <f>SUM(I48:I69)</f>
        <v>5787448.8100000005</v>
      </c>
      <c r="J47" s="321">
        <f t="shared" si="6"/>
        <v>14049354.25</v>
      </c>
      <c r="K47" s="321">
        <f t="shared" si="6"/>
        <v>1357742.19</v>
      </c>
      <c r="L47" s="321">
        <f t="shared" si="6"/>
        <v>50684867.080000006</v>
      </c>
      <c r="M47" s="321">
        <f t="shared" si="6"/>
        <v>15168434.74</v>
      </c>
      <c r="N47" s="321">
        <f t="shared" si="6"/>
        <v>0</v>
      </c>
      <c r="O47" s="321">
        <f t="shared" si="6"/>
        <v>26635715.27</v>
      </c>
      <c r="P47" s="321">
        <f t="shared" si="6"/>
        <v>719550.55</v>
      </c>
      <c r="Q47" s="321">
        <f t="shared" si="6"/>
        <v>978148.55</v>
      </c>
      <c r="R47" s="322">
        <f t="shared" si="6"/>
        <v>1956535.05</v>
      </c>
      <c r="S47" s="323">
        <f>SUM(D47:R47)</f>
        <v>193454828.03000006</v>
      </c>
      <c r="T47" s="552"/>
    </row>
    <row r="48" spans="1:19" s="190" customFormat="1" ht="12.75" customHeight="1">
      <c r="A48" s="238" t="s">
        <v>211</v>
      </c>
      <c r="B48" s="239" t="s">
        <v>273</v>
      </c>
      <c r="C48" s="225" t="s">
        <v>74</v>
      </c>
      <c r="D48" s="324">
        <v>42378</v>
      </c>
      <c r="E48" s="324">
        <v>0</v>
      </c>
      <c r="F48" s="324">
        <v>0</v>
      </c>
      <c r="G48" s="324">
        <v>0</v>
      </c>
      <c r="H48" s="324">
        <v>3191.83</v>
      </c>
      <c r="I48" s="324">
        <v>0</v>
      </c>
      <c r="J48" s="324">
        <v>41421.69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5">
        <v>0</v>
      </c>
      <c r="S48" s="326">
        <f t="shared" si="2"/>
        <v>86991.52</v>
      </c>
    </row>
    <row r="49" spans="1:19" s="190" customFormat="1" ht="12.75" customHeight="1">
      <c r="A49" s="238" t="s">
        <v>212</v>
      </c>
      <c r="B49" s="240" t="s">
        <v>274</v>
      </c>
      <c r="C49" s="225" t="s">
        <v>75</v>
      </c>
      <c r="D49" s="324">
        <v>1438358.09</v>
      </c>
      <c r="E49" s="324">
        <v>6096</v>
      </c>
      <c r="F49" s="324">
        <v>975185.43</v>
      </c>
      <c r="G49" s="324">
        <v>565373</v>
      </c>
      <c r="H49" s="324">
        <v>911232.17</v>
      </c>
      <c r="I49" s="324">
        <v>4345067.58</v>
      </c>
      <c r="J49" s="324">
        <v>2914152.03</v>
      </c>
      <c r="K49" s="324">
        <v>369506.52</v>
      </c>
      <c r="L49" s="324">
        <v>1110724.28</v>
      </c>
      <c r="M49" s="324">
        <v>1890554.74</v>
      </c>
      <c r="N49" s="324">
        <v>0</v>
      </c>
      <c r="O49" s="324">
        <v>17708632.68</v>
      </c>
      <c r="P49" s="324">
        <v>0</v>
      </c>
      <c r="Q49" s="324">
        <v>825844.4</v>
      </c>
      <c r="R49" s="325">
        <v>752878.29</v>
      </c>
      <c r="S49" s="327">
        <f t="shared" si="2"/>
        <v>33813605.20999999</v>
      </c>
    </row>
    <row r="50" spans="1:19" s="190" customFormat="1" ht="12.75" customHeight="1">
      <c r="A50" s="238" t="s">
        <v>213</v>
      </c>
      <c r="B50" s="240" t="s">
        <v>275</v>
      </c>
      <c r="C50" s="225" t="s">
        <v>276</v>
      </c>
      <c r="D50" s="324">
        <v>113356.94</v>
      </c>
      <c r="E50" s="324">
        <v>0</v>
      </c>
      <c r="F50" s="324">
        <v>0</v>
      </c>
      <c r="G50" s="324">
        <v>0</v>
      </c>
      <c r="H50" s="324">
        <v>11428751.8</v>
      </c>
      <c r="I50" s="324">
        <v>0</v>
      </c>
      <c r="J50" s="324">
        <v>462324</v>
      </c>
      <c r="K50" s="324">
        <v>988235</v>
      </c>
      <c r="L50" s="324">
        <v>0</v>
      </c>
      <c r="M50" s="324">
        <v>12104979.9</v>
      </c>
      <c r="N50" s="324">
        <v>0</v>
      </c>
      <c r="O50" s="324">
        <v>0</v>
      </c>
      <c r="P50" s="324">
        <v>0</v>
      </c>
      <c r="Q50" s="324">
        <v>0</v>
      </c>
      <c r="R50" s="325">
        <v>0</v>
      </c>
      <c r="S50" s="327">
        <f t="shared" si="2"/>
        <v>25097647.64</v>
      </c>
    </row>
    <row r="51" spans="1:19" s="190" customFormat="1" ht="12.75" customHeight="1">
      <c r="A51" s="238" t="s">
        <v>215</v>
      </c>
      <c r="B51" s="240" t="s">
        <v>277</v>
      </c>
      <c r="C51" s="225" t="s">
        <v>76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4">
        <v>0</v>
      </c>
      <c r="J51" s="324">
        <v>0</v>
      </c>
      <c r="K51" s="324">
        <v>0</v>
      </c>
      <c r="L51" s="324">
        <v>15284.35</v>
      </c>
      <c r="M51" s="324">
        <v>0</v>
      </c>
      <c r="N51" s="324">
        <v>0</v>
      </c>
      <c r="O51" s="324">
        <v>0</v>
      </c>
      <c r="P51" s="324">
        <v>0</v>
      </c>
      <c r="Q51" s="324">
        <v>4326</v>
      </c>
      <c r="R51" s="325">
        <v>111745.13</v>
      </c>
      <c r="S51" s="327">
        <f t="shared" si="2"/>
        <v>131355.48</v>
      </c>
    </row>
    <row r="52" spans="1:19" s="190" customFormat="1" ht="12.75" customHeight="1">
      <c r="A52" s="238" t="s">
        <v>219</v>
      </c>
      <c r="B52" s="240" t="s">
        <v>278</v>
      </c>
      <c r="C52" s="225" t="s">
        <v>279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5">
        <v>0</v>
      </c>
      <c r="S52" s="327">
        <f t="shared" si="2"/>
        <v>0</v>
      </c>
    </row>
    <row r="53" spans="1:19" s="190" customFormat="1" ht="12.75" customHeight="1">
      <c r="A53" s="238" t="s">
        <v>220</v>
      </c>
      <c r="B53" s="240" t="s">
        <v>280</v>
      </c>
      <c r="C53" s="225" t="s">
        <v>77</v>
      </c>
      <c r="D53" s="324">
        <v>0</v>
      </c>
      <c r="E53" s="324">
        <v>0</v>
      </c>
      <c r="F53" s="324">
        <v>0</v>
      </c>
      <c r="G53" s="324">
        <v>0</v>
      </c>
      <c r="H53" s="324">
        <v>0</v>
      </c>
      <c r="I53" s="324">
        <v>0</v>
      </c>
      <c r="J53" s="324">
        <v>0</v>
      </c>
      <c r="K53" s="324">
        <v>0</v>
      </c>
      <c r="L53" s="324">
        <v>0</v>
      </c>
      <c r="M53" s="324">
        <v>0</v>
      </c>
      <c r="N53" s="324">
        <v>0</v>
      </c>
      <c r="O53" s="324">
        <v>0</v>
      </c>
      <c r="P53" s="324">
        <v>0</v>
      </c>
      <c r="Q53" s="324">
        <v>0</v>
      </c>
      <c r="R53" s="325">
        <v>0</v>
      </c>
      <c r="S53" s="327">
        <f t="shared" si="2"/>
        <v>0</v>
      </c>
    </row>
    <row r="54" spans="1:19" s="190" customFormat="1" ht="12.75" customHeight="1">
      <c r="A54" s="238" t="s">
        <v>281</v>
      </c>
      <c r="B54" s="240" t="s">
        <v>282</v>
      </c>
      <c r="C54" s="225" t="s">
        <v>78</v>
      </c>
      <c r="D54" s="324">
        <v>0</v>
      </c>
      <c r="E54" s="324">
        <v>0</v>
      </c>
      <c r="F54" s="324">
        <v>0</v>
      </c>
      <c r="G54" s="324">
        <v>0</v>
      </c>
      <c r="H54" s="324">
        <v>0</v>
      </c>
      <c r="I54" s="324">
        <v>0</v>
      </c>
      <c r="J54" s="324">
        <v>0</v>
      </c>
      <c r="K54" s="324">
        <v>0</v>
      </c>
      <c r="L54" s="324">
        <v>0</v>
      </c>
      <c r="M54" s="324">
        <v>0</v>
      </c>
      <c r="N54" s="324">
        <v>0</v>
      </c>
      <c r="O54" s="324">
        <v>0</v>
      </c>
      <c r="P54" s="324">
        <v>0</v>
      </c>
      <c r="Q54" s="324">
        <v>0</v>
      </c>
      <c r="R54" s="325">
        <v>0</v>
      </c>
      <c r="S54" s="327">
        <f t="shared" si="2"/>
        <v>0</v>
      </c>
    </row>
    <row r="55" spans="1:19" s="190" customFormat="1" ht="12.75" customHeight="1">
      <c r="A55" s="238" t="s">
        <v>221</v>
      </c>
      <c r="B55" s="240" t="s">
        <v>283</v>
      </c>
      <c r="C55" s="225" t="s">
        <v>79</v>
      </c>
      <c r="D55" s="324">
        <v>0</v>
      </c>
      <c r="E55" s="324">
        <v>0</v>
      </c>
      <c r="F55" s="324">
        <v>0</v>
      </c>
      <c r="G55" s="324">
        <v>0</v>
      </c>
      <c r="H55" s="324">
        <v>-3989.94</v>
      </c>
      <c r="I55" s="324">
        <v>0</v>
      </c>
      <c r="J55" s="324">
        <v>0</v>
      </c>
      <c r="K55" s="324">
        <v>0</v>
      </c>
      <c r="L55" s="324">
        <v>0</v>
      </c>
      <c r="M55" s="324">
        <v>0</v>
      </c>
      <c r="N55" s="324">
        <v>0</v>
      </c>
      <c r="O55" s="324">
        <v>0</v>
      </c>
      <c r="P55" s="324">
        <v>0</v>
      </c>
      <c r="Q55" s="324">
        <v>0</v>
      </c>
      <c r="R55" s="325">
        <v>0</v>
      </c>
      <c r="S55" s="327">
        <f t="shared" si="2"/>
        <v>-3989.94</v>
      </c>
    </row>
    <row r="56" spans="1:19" s="190" customFormat="1" ht="12.75" customHeight="1">
      <c r="A56" s="238" t="s">
        <v>222</v>
      </c>
      <c r="B56" s="240" t="s">
        <v>284</v>
      </c>
      <c r="C56" s="225" t="s">
        <v>80</v>
      </c>
      <c r="D56" s="324">
        <v>0</v>
      </c>
      <c r="E56" s="324">
        <v>0</v>
      </c>
      <c r="F56" s="324">
        <v>0</v>
      </c>
      <c r="G56" s="324">
        <v>0</v>
      </c>
      <c r="H56" s="324">
        <v>0</v>
      </c>
      <c r="I56" s="324">
        <v>0</v>
      </c>
      <c r="J56" s="324">
        <v>0</v>
      </c>
      <c r="K56" s="324">
        <v>0</v>
      </c>
      <c r="L56" s="324">
        <v>0</v>
      </c>
      <c r="M56" s="324">
        <v>0</v>
      </c>
      <c r="N56" s="324">
        <v>0</v>
      </c>
      <c r="O56" s="324">
        <v>0</v>
      </c>
      <c r="P56" s="324">
        <v>0</v>
      </c>
      <c r="Q56" s="324">
        <v>0</v>
      </c>
      <c r="R56" s="325">
        <v>0</v>
      </c>
      <c r="S56" s="327">
        <f t="shared" si="2"/>
        <v>0</v>
      </c>
    </row>
    <row r="57" spans="1:19" s="190" customFormat="1" ht="12.75" customHeight="1">
      <c r="A57" s="238" t="s">
        <v>224</v>
      </c>
      <c r="B57" s="240" t="s">
        <v>82</v>
      </c>
      <c r="C57" s="225" t="s">
        <v>81</v>
      </c>
      <c r="D57" s="324">
        <v>0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>
        <v>0</v>
      </c>
      <c r="M57" s="324">
        <v>0</v>
      </c>
      <c r="N57" s="324">
        <v>0</v>
      </c>
      <c r="O57" s="324">
        <v>0</v>
      </c>
      <c r="P57" s="324">
        <v>0</v>
      </c>
      <c r="Q57" s="324">
        <v>0</v>
      </c>
      <c r="R57" s="325">
        <v>0</v>
      </c>
      <c r="S57" s="327">
        <f t="shared" si="2"/>
        <v>0</v>
      </c>
    </row>
    <row r="58" spans="1:19" s="190" customFormat="1" ht="12.75" customHeight="1">
      <c r="A58" s="238" t="s">
        <v>225</v>
      </c>
      <c r="B58" s="240" t="s">
        <v>84</v>
      </c>
      <c r="C58" s="225" t="s">
        <v>83</v>
      </c>
      <c r="D58" s="324">
        <v>0</v>
      </c>
      <c r="E58" s="324">
        <v>0</v>
      </c>
      <c r="F58" s="324">
        <v>0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4">
        <v>40998</v>
      </c>
      <c r="M58" s="324">
        <v>0</v>
      </c>
      <c r="N58" s="324">
        <v>0</v>
      </c>
      <c r="O58" s="324">
        <v>0</v>
      </c>
      <c r="P58" s="324">
        <v>0</v>
      </c>
      <c r="Q58" s="324">
        <v>0</v>
      </c>
      <c r="R58" s="325">
        <v>0</v>
      </c>
      <c r="S58" s="327">
        <f t="shared" si="2"/>
        <v>40998</v>
      </c>
    </row>
    <row r="59" spans="1:19" s="190" customFormat="1" ht="12.75" customHeight="1">
      <c r="A59" s="238" t="s">
        <v>227</v>
      </c>
      <c r="B59" s="240" t="s">
        <v>86</v>
      </c>
      <c r="C59" s="225" t="s">
        <v>85</v>
      </c>
      <c r="D59" s="324">
        <v>0</v>
      </c>
      <c r="E59" s="324">
        <v>0</v>
      </c>
      <c r="F59" s="324">
        <v>0</v>
      </c>
      <c r="G59" s="324">
        <v>0</v>
      </c>
      <c r="H59" s="324">
        <v>0</v>
      </c>
      <c r="I59" s="324">
        <v>0</v>
      </c>
      <c r="J59" s="324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24">
        <v>0</v>
      </c>
      <c r="Q59" s="324">
        <v>0</v>
      </c>
      <c r="R59" s="325">
        <v>0</v>
      </c>
      <c r="S59" s="327">
        <f t="shared" si="2"/>
        <v>0</v>
      </c>
    </row>
    <row r="60" spans="1:19" s="190" customFormat="1" ht="12.75" customHeight="1">
      <c r="A60" s="238" t="s">
        <v>228</v>
      </c>
      <c r="B60" s="240" t="s">
        <v>88</v>
      </c>
      <c r="C60" s="225" t="s">
        <v>87</v>
      </c>
      <c r="D60" s="324">
        <v>0</v>
      </c>
      <c r="E60" s="324">
        <v>0</v>
      </c>
      <c r="F60" s="324">
        <v>0</v>
      </c>
      <c r="G60" s="324">
        <v>0</v>
      </c>
      <c r="H60" s="324">
        <v>0</v>
      </c>
      <c r="I60" s="324">
        <v>0</v>
      </c>
      <c r="J60" s="324">
        <v>0</v>
      </c>
      <c r="K60" s="324">
        <v>0</v>
      </c>
      <c r="L60" s="324">
        <v>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5">
        <v>0</v>
      </c>
      <c r="S60" s="327">
        <f t="shared" si="2"/>
        <v>0</v>
      </c>
    </row>
    <row r="61" spans="1:19" s="190" customFormat="1" ht="12.75" customHeight="1">
      <c r="A61" s="238" t="s">
        <v>229</v>
      </c>
      <c r="B61" s="240" t="s">
        <v>58</v>
      </c>
      <c r="C61" s="225" t="s">
        <v>89</v>
      </c>
      <c r="D61" s="324">
        <v>0</v>
      </c>
      <c r="E61" s="324">
        <v>0</v>
      </c>
      <c r="F61" s="324">
        <v>0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4">
        <v>0</v>
      </c>
      <c r="M61" s="324">
        <v>9532.33</v>
      </c>
      <c r="N61" s="324">
        <v>0</v>
      </c>
      <c r="O61" s="324">
        <v>0</v>
      </c>
      <c r="P61" s="324">
        <v>0</v>
      </c>
      <c r="Q61" s="324">
        <v>0</v>
      </c>
      <c r="R61" s="325">
        <v>0</v>
      </c>
      <c r="S61" s="327">
        <f t="shared" si="2"/>
        <v>9532.33</v>
      </c>
    </row>
    <row r="62" spans="1:19" s="190" customFormat="1" ht="12.75" customHeight="1">
      <c r="A62" s="238" t="s">
        <v>285</v>
      </c>
      <c r="B62" s="240" t="s">
        <v>233</v>
      </c>
      <c r="C62" s="225" t="s">
        <v>90</v>
      </c>
      <c r="D62" s="324">
        <v>0</v>
      </c>
      <c r="E62" s="324">
        <v>0</v>
      </c>
      <c r="F62" s="324">
        <v>0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121495.1</v>
      </c>
      <c r="P62" s="324">
        <v>0</v>
      </c>
      <c r="Q62" s="324">
        <v>0</v>
      </c>
      <c r="R62" s="325">
        <v>0</v>
      </c>
      <c r="S62" s="327">
        <f t="shared" si="2"/>
        <v>121495.1</v>
      </c>
    </row>
    <row r="63" spans="1:19" s="190" customFormat="1" ht="12.75" customHeight="1">
      <c r="A63" s="238" t="s">
        <v>231</v>
      </c>
      <c r="B63" s="240" t="s">
        <v>286</v>
      </c>
      <c r="C63" s="225" t="s">
        <v>91</v>
      </c>
      <c r="D63" s="324">
        <v>0</v>
      </c>
      <c r="E63" s="324">
        <v>0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4">
        <v>0</v>
      </c>
      <c r="Q63" s="324">
        <v>0</v>
      </c>
      <c r="R63" s="325">
        <v>72625.13</v>
      </c>
      <c r="S63" s="327">
        <f t="shared" si="2"/>
        <v>72625.13</v>
      </c>
    </row>
    <row r="64" spans="1:19" s="190" customFormat="1" ht="12.75" customHeight="1">
      <c r="A64" s="238" t="s">
        <v>232</v>
      </c>
      <c r="B64" s="240" t="s">
        <v>287</v>
      </c>
      <c r="C64" s="225" t="s">
        <v>92</v>
      </c>
      <c r="D64" s="324">
        <v>0</v>
      </c>
      <c r="E64" s="324">
        <v>0</v>
      </c>
      <c r="F64" s="324">
        <v>0</v>
      </c>
      <c r="G64" s="324">
        <v>0</v>
      </c>
      <c r="H64" s="324">
        <v>0</v>
      </c>
      <c r="I64" s="324">
        <v>0</v>
      </c>
      <c r="J64" s="324">
        <v>0</v>
      </c>
      <c r="K64" s="324">
        <v>0</v>
      </c>
      <c r="L64" s="324">
        <v>0</v>
      </c>
      <c r="M64" s="324">
        <v>0</v>
      </c>
      <c r="N64" s="324">
        <v>0</v>
      </c>
      <c r="O64" s="324">
        <v>0</v>
      </c>
      <c r="P64" s="324">
        <v>0</v>
      </c>
      <c r="Q64" s="324">
        <v>0</v>
      </c>
      <c r="R64" s="325">
        <v>0</v>
      </c>
      <c r="S64" s="327">
        <f t="shared" si="2"/>
        <v>0</v>
      </c>
    </row>
    <row r="65" spans="1:19" s="190" customFormat="1" ht="12.75" customHeight="1">
      <c r="A65" s="238" t="s">
        <v>234</v>
      </c>
      <c r="B65" s="328" t="s">
        <v>288</v>
      </c>
      <c r="C65" s="225" t="s">
        <v>93</v>
      </c>
      <c r="D65" s="324">
        <v>0</v>
      </c>
      <c r="E65" s="324">
        <v>0</v>
      </c>
      <c r="F65" s="324">
        <v>0</v>
      </c>
      <c r="G65" s="324">
        <v>0</v>
      </c>
      <c r="H65" s="324">
        <v>0</v>
      </c>
      <c r="I65" s="324">
        <v>0</v>
      </c>
      <c r="J65" s="324">
        <v>0</v>
      </c>
      <c r="K65" s="324">
        <v>0</v>
      </c>
      <c r="L65" s="324">
        <v>0</v>
      </c>
      <c r="M65" s="324">
        <v>0</v>
      </c>
      <c r="N65" s="324">
        <v>0</v>
      </c>
      <c r="O65" s="324">
        <v>0</v>
      </c>
      <c r="P65" s="324">
        <v>0</v>
      </c>
      <c r="Q65" s="324">
        <v>0</v>
      </c>
      <c r="R65" s="325">
        <v>0</v>
      </c>
      <c r="S65" s="327">
        <f t="shared" si="2"/>
        <v>0</v>
      </c>
    </row>
    <row r="66" spans="1:19" s="190" customFormat="1" ht="12.75" customHeight="1">
      <c r="A66" s="329" t="s">
        <v>235</v>
      </c>
      <c r="B66" s="328" t="s">
        <v>289</v>
      </c>
      <c r="C66" s="241" t="s">
        <v>290</v>
      </c>
      <c r="D66" s="324">
        <v>0</v>
      </c>
      <c r="E66" s="324">
        <v>0</v>
      </c>
      <c r="F66" s="324">
        <v>13280</v>
      </c>
      <c r="G66" s="324">
        <v>0</v>
      </c>
      <c r="H66" s="324">
        <v>11862</v>
      </c>
      <c r="I66" s="324">
        <v>108000</v>
      </c>
      <c r="J66" s="324">
        <v>12420</v>
      </c>
      <c r="K66" s="324">
        <v>0</v>
      </c>
      <c r="L66" s="324">
        <v>10000</v>
      </c>
      <c r="M66" s="324">
        <v>0</v>
      </c>
      <c r="N66" s="324">
        <v>0</v>
      </c>
      <c r="O66" s="324">
        <v>0</v>
      </c>
      <c r="P66" s="324">
        <v>0</v>
      </c>
      <c r="Q66" s="324">
        <v>0</v>
      </c>
      <c r="R66" s="325">
        <v>0</v>
      </c>
      <c r="S66" s="327">
        <f t="shared" si="2"/>
        <v>155562</v>
      </c>
    </row>
    <row r="67" spans="1:19" s="190" customFormat="1" ht="12.75" customHeight="1">
      <c r="A67" s="238" t="s">
        <v>236</v>
      </c>
      <c r="B67" s="240" t="s">
        <v>291</v>
      </c>
      <c r="C67" s="242" t="s">
        <v>292</v>
      </c>
      <c r="D67" s="324">
        <v>0</v>
      </c>
      <c r="E67" s="324">
        <v>0</v>
      </c>
      <c r="F67" s="324">
        <v>0</v>
      </c>
      <c r="G67" s="324">
        <v>0</v>
      </c>
      <c r="H67" s="324">
        <v>0</v>
      </c>
      <c r="I67" s="324">
        <v>0</v>
      </c>
      <c r="J67" s="324">
        <v>0</v>
      </c>
      <c r="K67" s="324">
        <v>0</v>
      </c>
      <c r="L67" s="324">
        <v>0</v>
      </c>
      <c r="M67" s="324">
        <v>0</v>
      </c>
      <c r="N67" s="324">
        <v>0</v>
      </c>
      <c r="O67" s="324">
        <v>0</v>
      </c>
      <c r="P67" s="324">
        <v>0</v>
      </c>
      <c r="Q67" s="324">
        <v>0</v>
      </c>
      <c r="R67" s="325">
        <v>0</v>
      </c>
      <c r="S67" s="327">
        <f t="shared" si="2"/>
        <v>0</v>
      </c>
    </row>
    <row r="68" spans="1:19" s="190" customFormat="1" ht="12.75" customHeight="1">
      <c r="A68" s="238" t="s">
        <v>238</v>
      </c>
      <c r="B68" s="240" t="s">
        <v>293</v>
      </c>
      <c r="C68" s="243" t="s">
        <v>294</v>
      </c>
      <c r="D68" s="324">
        <v>33589415.92</v>
      </c>
      <c r="E68" s="324">
        <v>9547274.47</v>
      </c>
      <c r="F68" s="324">
        <v>1959316</v>
      </c>
      <c r="G68" s="324">
        <v>400618.08</v>
      </c>
      <c r="H68" s="324">
        <v>12709894.97</v>
      </c>
      <c r="I68" s="324">
        <v>330489</v>
      </c>
      <c r="J68" s="324">
        <v>5752691.35</v>
      </c>
      <c r="K68" s="324">
        <v>0</v>
      </c>
      <c r="L68" s="324">
        <v>47573006.35</v>
      </c>
      <c r="M68" s="324">
        <v>377340.11</v>
      </c>
      <c r="N68" s="324">
        <v>0</v>
      </c>
      <c r="O68" s="324">
        <v>7630816.47</v>
      </c>
      <c r="P68" s="324">
        <v>631313</v>
      </c>
      <c r="Q68" s="324">
        <v>147798.15</v>
      </c>
      <c r="R68" s="325">
        <v>0</v>
      </c>
      <c r="S68" s="327">
        <f t="shared" si="2"/>
        <v>120649973.87</v>
      </c>
    </row>
    <row r="69" spans="1:19" s="190" customFormat="1" ht="12.75" customHeight="1">
      <c r="A69" s="238" t="s">
        <v>240</v>
      </c>
      <c r="B69" s="244" t="s">
        <v>295</v>
      </c>
      <c r="C69" s="245" t="s">
        <v>95</v>
      </c>
      <c r="D69" s="324">
        <v>776823.53</v>
      </c>
      <c r="E69" s="324">
        <v>0</v>
      </c>
      <c r="F69" s="324">
        <v>189921.95</v>
      </c>
      <c r="G69" s="324">
        <v>18355</v>
      </c>
      <c r="H69" s="324">
        <v>1420336.3</v>
      </c>
      <c r="I69" s="324">
        <v>1003892.23</v>
      </c>
      <c r="J69" s="324">
        <v>4866345.18</v>
      </c>
      <c r="K69" s="324">
        <v>0.67</v>
      </c>
      <c r="L69" s="324">
        <v>1934854.1</v>
      </c>
      <c r="M69" s="324">
        <v>786027.66</v>
      </c>
      <c r="N69" s="324">
        <v>0</v>
      </c>
      <c r="O69" s="324">
        <v>1174771.02</v>
      </c>
      <c r="P69" s="324">
        <v>88237.55</v>
      </c>
      <c r="Q69" s="324">
        <v>180</v>
      </c>
      <c r="R69" s="325">
        <v>1019286.5</v>
      </c>
      <c r="S69" s="327">
        <f t="shared" si="2"/>
        <v>13279031.69</v>
      </c>
    </row>
    <row r="70" spans="1:19" s="190" customFormat="1" ht="12.75" customHeight="1">
      <c r="A70" s="227" t="s">
        <v>258</v>
      </c>
      <c r="B70" s="228" t="s">
        <v>296</v>
      </c>
      <c r="C70" s="220"/>
      <c r="D70" s="321">
        <f aca="true" t="shared" si="7" ref="D70:R70">SUM(D71:D74)</f>
        <v>5835.38</v>
      </c>
      <c r="E70" s="321">
        <f>SUM(E71:E74)</f>
        <v>3030.81</v>
      </c>
      <c r="F70" s="321">
        <f t="shared" si="7"/>
        <v>934.04</v>
      </c>
      <c r="G70" s="321">
        <f>SUM(G71:G74)</f>
        <v>1522.71</v>
      </c>
      <c r="H70" s="321">
        <f t="shared" si="7"/>
        <v>44938.08</v>
      </c>
      <c r="I70" s="321">
        <f>SUM(I71:I74)</f>
        <v>1577228.59</v>
      </c>
      <c r="J70" s="321">
        <f t="shared" si="7"/>
        <v>197401.48</v>
      </c>
      <c r="K70" s="321">
        <f t="shared" si="7"/>
        <v>4539.77</v>
      </c>
      <c r="L70" s="321">
        <f t="shared" si="7"/>
        <v>566299.9199999999</v>
      </c>
      <c r="M70" s="321">
        <f t="shared" si="7"/>
        <v>295902.37</v>
      </c>
      <c r="N70" s="321">
        <f t="shared" si="7"/>
        <v>467977.94</v>
      </c>
      <c r="O70" s="321">
        <f t="shared" si="7"/>
        <v>23851.95</v>
      </c>
      <c r="P70" s="321">
        <f t="shared" si="7"/>
        <v>68204.94</v>
      </c>
      <c r="Q70" s="321">
        <f t="shared" si="7"/>
        <v>12503.460000000001</v>
      </c>
      <c r="R70" s="330">
        <f t="shared" si="7"/>
        <v>4193.68</v>
      </c>
      <c r="S70" s="323">
        <f>SUM(D70:R70)</f>
        <v>3274365.1200000006</v>
      </c>
    </row>
    <row r="71" spans="1:19" s="190" customFormat="1" ht="12.75" customHeight="1">
      <c r="A71" s="238" t="s">
        <v>212</v>
      </c>
      <c r="B71" s="246" t="s">
        <v>62</v>
      </c>
      <c r="C71" s="225" t="s">
        <v>297</v>
      </c>
      <c r="D71" s="324">
        <v>5835.38</v>
      </c>
      <c r="E71" s="324">
        <v>3030.81</v>
      </c>
      <c r="F71" s="324">
        <v>934.04</v>
      </c>
      <c r="G71" s="324">
        <v>0</v>
      </c>
      <c r="H71" s="324">
        <v>44829.64</v>
      </c>
      <c r="I71" s="324">
        <v>50778.75</v>
      </c>
      <c r="J71" s="324">
        <v>185596.53</v>
      </c>
      <c r="K71" s="324">
        <v>4539.77</v>
      </c>
      <c r="L71" s="324">
        <v>264045.63</v>
      </c>
      <c r="M71" s="324">
        <v>117782.32</v>
      </c>
      <c r="N71" s="324">
        <v>17592.56</v>
      </c>
      <c r="O71" s="324">
        <v>23851.95</v>
      </c>
      <c r="P71" s="324">
        <v>66415.78</v>
      </c>
      <c r="Q71" s="324">
        <v>841.92</v>
      </c>
      <c r="R71" s="325">
        <v>1957.56</v>
      </c>
      <c r="S71" s="327">
        <f aca="true" t="shared" si="8" ref="S71:S82">SUM(D71:R71)</f>
        <v>788032.6400000002</v>
      </c>
    </row>
    <row r="72" spans="1:19" s="190" customFormat="1" ht="12.75" customHeight="1">
      <c r="A72" s="238" t="s">
        <v>213</v>
      </c>
      <c r="B72" s="246" t="s">
        <v>94</v>
      </c>
      <c r="C72" s="225" t="s">
        <v>298</v>
      </c>
      <c r="D72" s="324">
        <v>0</v>
      </c>
      <c r="E72" s="324">
        <v>0</v>
      </c>
      <c r="F72" s="324">
        <v>0</v>
      </c>
      <c r="G72" s="324">
        <v>0</v>
      </c>
      <c r="H72" s="324">
        <v>108.44</v>
      </c>
      <c r="I72" s="324">
        <v>1526449.84</v>
      </c>
      <c r="J72" s="324">
        <v>11804.95</v>
      </c>
      <c r="K72" s="324">
        <v>0</v>
      </c>
      <c r="L72" s="324">
        <v>17374.29</v>
      </c>
      <c r="M72" s="324">
        <v>7203.05</v>
      </c>
      <c r="N72" s="324">
        <v>450385.38</v>
      </c>
      <c r="O72" s="324">
        <v>0</v>
      </c>
      <c r="P72" s="324">
        <v>1789.16</v>
      </c>
      <c r="Q72" s="324">
        <v>11661.54</v>
      </c>
      <c r="R72" s="325">
        <v>2235.87</v>
      </c>
      <c r="S72" s="331">
        <f t="shared" si="8"/>
        <v>2029012.5200000003</v>
      </c>
    </row>
    <row r="73" spans="1:19" s="190" customFormat="1" ht="12.75" customHeight="1">
      <c r="A73" s="238" t="s">
        <v>215</v>
      </c>
      <c r="B73" s="246" t="s">
        <v>299</v>
      </c>
      <c r="C73" s="225" t="s">
        <v>300</v>
      </c>
      <c r="D73" s="324">
        <v>0</v>
      </c>
      <c r="E73" s="324">
        <v>0</v>
      </c>
      <c r="F73" s="324">
        <v>0</v>
      </c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4">
        <v>0</v>
      </c>
      <c r="M73" s="324">
        <v>0</v>
      </c>
      <c r="N73" s="324">
        <v>0</v>
      </c>
      <c r="O73" s="324">
        <v>0</v>
      </c>
      <c r="P73" s="324">
        <v>0</v>
      </c>
      <c r="Q73" s="324">
        <v>0</v>
      </c>
      <c r="R73" s="325">
        <v>0</v>
      </c>
      <c r="S73" s="331">
        <f t="shared" si="8"/>
        <v>0</v>
      </c>
    </row>
    <row r="74" spans="1:19" s="190" customFormat="1" ht="12.75" customHeight="1">
      <c r="A74" s="238" t="s">
        <v>217</v>
      </c>
      <c r="B74" s="246" t="s">
        <v>301</v>
      </c>
      <c r="C74" s="225" t="s">
        <v>302</v>
      </c>
      <c r="D74" s="324">
        <v>0</v>
      </c>
      <c r="E74" s="324">
        <v>0</v>
      </c>
      <c r="F74" s="324">
        <v>0</v>
      </c>
      <c r="G74" s="324">
        <v>1522.71</v>
      </c>
      <c r="H74" s="324">
        <v>0</v>
      </c>
      <c r="I74" s="324">
        <v>0</v>
      </c>
      <c r="J74" s="324">
        <v>0</v>
      </c>
      <c r="K74" s="324">
        <v>0</v>
      </c>
      <c r="L74" s="324">
        <v>284880</v>
      </c>
      <c r="M74" s="324">
        <v>170917</v>
      </c>
      <c r="N74" s="324">
        <v>0</v>
      </c>
      <c r="O74" s="324">
        <v>0</v>
      </c>
      <c r="P74" s="324">
        <v>0</v>
      </c>
      <c r="Q74" s="324">
        <v>0</v>
      </c>
      <c r="R74" s="325">
        <v>0.25</v>
      </c>
      <c r="S74" s="331">
        <f t="shared" si="8"/>
        <v>457319.96</v>
      </c>
    </row>
    <row r="75" spans="1:19" s="190" customFormat="1" ht="15.75">
      <c r="A75" s="230" t="s">
        <v>303</v>
      </c>
      <c r="B75" s="231" t="s">
        <v>417</v>
      </c>
      <c r="C75" s="232"/>
      <c r="D75" s="321">
        <f aca="true" t="shared" si="9" ref="D75:R75">SUM(D76:D77)</f>
        <v>24966796.22</v>
      </c>
      <c r="E75" s="321">
        <f>SUM(E76:E77)</f>
        <v>19655952.21</v>
      </c>
      <c r="F75" s="321">
        <f t="shared" si="9"/>
        <v>2370000</v>
      </c>
      <c r="G75" s="321">
        <f>SUM(G76:G77)</f>
        <v>2724719.72</v>
      </c>
      <c r="H75" s="321">
        <f t="shared" si="9"/>
        <v>74772239.3</v>
      </c>
      <c r="I75" s="321">
        <f>SUM(I76:I77)</f>
        <v>149752970.56</v>
      </c>
      <c r="J75" s="321">
        <f t="shared" si="9"/>
        <v>393851494.69</v>
      </c>
      <c r="K75" s="321">
        <f t="shared" si="9"/>
        <v>21761000</v>
      </c>
      <c r="L75" s="321">
        <f t="shared" si="9"/>
        <v>78547643.58</v>
      </c>
      <c r="M75" s="321">
        <f t="shared" si="9"/>
        <v>319879119.27</v>
      </c>
      <c r="N75" s="321">
        <f t="shared" si="9"/>
        <v>12259893</v>
      </c>
      <c r="O75" s="321">
        <f t="shared" si="9"/>
        <v>102561708.95</v>
      </c>
      <c r="P75" s="321">
        <f t="shared" si="9"/>
        <v>273320852.99</v>
      </c>
      <c r="Q75" s="321">
        <f t="shared" si="9"/>
        <v>5158501.28</v>
      </c>
      <c r="R75" s="330">
        <f t="shared" si="9"/>
        <v>12551000</v>
      </c>
      <c r="S75" s="323">
        <f t="shared" si="8"/>
        <v>1494133891.7700002</v>
      </c>
    </row>
    <row r="76" spans="1:19" s="190" customFormat="1" ht="12.75" customHeight="1">
      <c r="A76" s="247" t="s">
        <v>211</v>
      </c>
      <c r="B76" s="248" t="s">
        <v>304</v>
      </c>
      <c r="C76" s="249" t="s">
        <v>305</v>
      </c>
      <c r="D76" s="324">
        <v>24966796.22</v>
      </c>
      <c r="E76" s="324">
        <v>19655952.21</v>
      </c>
      <c r="F76" s="324">
        <v>2370000</v>
      </c>
      <c r="G76" s="324">
        <v>2724719.72</v>
      </c>
      <c r="H76" s="324">
        <v>74772239.3</v>
      </c>
      <c r="I76" s="324">
        <v>149752970.56</v>
      </c>
      <c r="J76" s="324">
        <v>393851494.69</v>
      </c>
      <c r="K76" s="324">
        <v>21761000</v>
      </c>
      <c r="L76" s="324">
        <v>78547643.58</v>
      </c>
      <c r="M76" s="324">
        <v>319879119.27</v>
      </c>
      <c r="N76" s="324">
        <v>12259893</v>
      </c>
      <c r="O76" s="324">
        <v>102561708.95</v>
      </c>
      <c r="P76" s="324">
        <v>273320852.99</v>
      </c>
      <c r="Q76" s="324">
        <v>5158501.28</v>
      </c>
      <c r="R76" s="325">
        <v>12551000</v>
      </c>
      <c r="S76" s="331">
        <f t="shared" si="8"/>
        <v>1494133891.7700002</v>
      </c>
    </row>
    <row r="77" spans="1:19" s="190" customFormat="1" ht="12.75" customHeight="1" thickBot="1">
      <c r="A77" s="332" t="s">
        <v>212</v>
      </c>
      <c r="B77" s="333" t="s">
        <v>306</v>
      </c>
      <c r="C77" s="249" t="s">
        <v>307</v>
      </c>
      <c r="D77" s="324">
        <v>0</v>
      </c>
      <c r="E77" s="324">
        <v>0</v>
      </c>
      <c r="F77" s="324">
        <v>0</v>
      </c>
      <c r="G77" s="324">
        <v>0</v>
      </c>
      <c r="H77" s="324">
        <v>0</v>
      </c>
      <c r="I77" s="324">
        <v>0</v>
      </c>
      <c r="J77" s="324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24">
        <v>0</v>
      </c>
      <c r="Q77" s="324">
        <v>0</v>
      </c>
      <c r="R77" s="325">
        <v>0</v>
      </c>
      <c r="S77" s="331">
        <f t="shared" si="8"/>
        <v>0</v>
      </c>
    </row>
    <row r="78" spans="1:19" s="190" customFormat="1" ht="12.75" customHeight="1">
      <c r="A78" s="250" t="s">
        <v>308</v>
      </c>
      <c r="B78" s="251" t="s">
        <v>309</v>
      </c>
      <c r="C78" s="252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5"/>
      <c r="S78" s="336">
        <f t="shared" si="8"/>
        <v>0</v>
      </c>
    </row>
    <row r="79" spans="1:19" s="190" customFormat="1" ht="12.75" customHeight="1">
      <c r="A79" s="253" t="s">
        <v>211</v>
      </c>
      <c r="B79" s="254" t="s">
        <v>310</v>
      </c>
      <c r="C79" s="255" t="s">
        <v>311</v>
      </c>
      <c r="D79" s="337">
        <f aca="true" t="shared" si="10" ref="D79:R79">D46-D5</f>
        <v>-7749135.719999991</v>
      </c>
      <c r="E79" s="337">
        <f t="shared" si="10"/>
        <v>-3274239.599999994</v>
      </c>
      <c r="F79" s="337">
        <f t="shared" si="10"/>
        <v>0</v>
      </c>
      <c r="G79" s="337">
        <f t="shared" si="10"/>
        <v>193060.86000000034</v>
      </c>
      <c r="H79" s="337">
        <f t="shared" si="10"/>
        <v>603368.9599999785</v>
      </c>
      <c r="I79" s="337">
        <f t="shared" si="10"/>
        <v>2463112.8899999857</v>
      </c>
      <c r="J79" s="337">
        <f t="shared" si="10"/>
        <v>1758589.8299999833</v>
      </c>
      <c r="K79" s="337">
        <f t="shared" si="10"/>
        <v>3166933.030000001</v>
      </c>
      <c r="L79" s="337">
        <f t="shared" si="10"/>
        <v>568907.6700000167</v>
      </c>
      <c r="M79" s="337">
        <f t="shared" si="10"/>
        <v>120707978.56</v>
      </c>
      <c r="N79" s="337">
        <f t="shared" si="10"/>
        <v>1096.2400000002235</v>
      </c>
      <c r="O79" s="337">
        <f t="shared" si="10"/>
        <v>83265</v>
      </c>
      <c r="P79" s="337">
        <f t="shared" si="10"/>
        <v>3508339.4099999666</v>
      </c>
      <c r="Q79" s="337">
        <f t="shared" si="10"/>
        <v>336706.4399999995</v>
      </c>
      <c r="R79" s="338">
        <f t="shared" si="10"/>
        <v>16390.710000000894</v>
      </c>
      <c r="S79" s="323">
        <f t="shared" si="8"/>
        <v>122384374.27999994</v>
      </c>
    </row>
    <row r="80" spans="1:19" s="190" customFormat="1" ht="12.75" customHeight="1">
      <c r="A80" s="238" t="s">
        <v>212</v>
      </c>
      <c r="B80" s="248" t="s">
        <v>97</v>
      </c>
      <c r="C80" s="225" t="s">
        <v>96</v>
      </c>
      <c r="D80" s="324">
        <v>0</v>
      </c>
      <c r="E80" s="324">
        <v>0</v>
      </c>
      <c r="F80" s="324">
        <v>0</v>
      </c>
      <c r="G80" s="324">
        <v>40000</v>
      </c>
      <c r="H80" s="324">
        <v>1647870</v>
      </c>
      <c r="I80" s="324">
        <v>0</v>
      </c>
      <c r="J80" s="324">
        <v>109971</v>
      </c>
      <c r="K80" s="324">
        <v>0</v>
      </c>
      <c r="L80" s="324">
        <v>0</v>
      </c>
      <c r="M80" s="324">
        <v>800200</v>
      </c>
      <c r="N80" s="324">
        <v>0</v>
      </c>
      <c r="O80" s="324">
        <v>0</v>
      </c>
      <c r="P80" s="324">
        <v>0</v>
      </c>
      <c r="Q80" s="324">
        <v>13033</v>
      </c>
      <c r="R80" s="325">
        <v>0</v>
      </c>
      <c r="S80" s="339">
        <f t="shared" si="8"/>
        <v>2611074</v>
      </c>
    </row>
    <row r="81" spans="1:19" s="190" customFormat="1" ht="12.75" customHeight="1">
      <c r="A81" s="238" t="s">
        <v>213</v>
      </c>
      <c r="B81" s="248" t="s">
        <v>99</v>
      </c>
      <c r="C81" s="225" t="s">
        <v>98</v>
      </c>
      <c r="D81" s="324">
        <v>0</v>
      </c>
      <c r="E81" s="324">
        <v>0</v>
      </c>
      <c r="F81" s="324">
        <v>0</v>
      </c>
      <c r="G81" s="324">
        <v>0</v>
      </c>
      <c r="H81" s="324">
        <v>0</v>
      </c>
      <c r="I81" s="324">
        <v>0</v>
      </c>
      <c r="J81" s="324">
        <v>0</v>
      </c>
      <c r="K81" s="324">
        <v>0</v>
      </c>
      <c r="L81" s="324">
        <v>0</v>
      </c>
      <c r="M81" s="324">
        <v>0</v>
      </c>
      <c r="N81" s="324">
        <v>0</v>
      </c>
      <c r="O81" s="324">
        <v>0</v>
      </c>
      <c r="P81" s="324">
        <v>0</v>
      </c>
      <c r="Q81" s="324">
        <v>0</v>
      </c>
      <c r="R81" s="325">
        <v>0</v>
      </c>
      <c r="S81" s="340">
        <f t="shared" si="8"/>
        <v>0</v>
      </c>
    </row>
    <row r="82" spans="1:19" s="190" customFormat="1" ht="12.75" customHeight="1" thickBot="1">
      <c r="A82" s="256" t="s">
        <v>215</v>
      </c>
      <c r="B82" s="257" t="s">
        <v>312</v>
      </c>
      <c r="C82" s="258" t="s">
        <v>311</v>
      </c>
      <c r="D82" s="341">
        <f aca="true" t="shared" si="11" ref="D82:R82">D79-SUM(D80,D81)</f>
        <v>-7749135.719999991</v>
      </c>
      <c r="E82" s="341">
        <f>E79-SUM(E80,E81)</f>
        <v>-3274239.599999994</v>
      </c>
      <c r="F82" s="341">
        <f t="shared" si="11"/>
        <v>0</v>
      </c>
      <c r="G82" s="341">
        <f>G79-SUM(G80,G81)</f>
        <v>153060.86000000034</v>
      </c>
      <c r="H82" s="341">
        <f t="shared" si="11"/>
        <v>-1044501.0400000215</v>
      </c>
      <c r="I82" s="341">
        <f>I79-SUM(I80,I81)</f>
        <v>2463112.8899999857</v>
      </c>
      <c r="J82" s="341">
        <f t="shared" si="11"/>
        <v>1648618.8299999833</v>
      </c>
      <c r="K82" s="341">
        <f t="shared" si="11"/>
        <v>3166933.030000001</v>
      </c>
      <c r="L82" s="341">
        <f t="shared" si="11"/>
        <v>568907.6700000167</v>
      </c>
      <c r="M82" s="341">
        <f t="shared" si="11"/>
        <v>119907778.56</v>
      </c>
      <c r="N82" s="341">
        <f t="shared" si="11"/>
        <v>1096.2400000002235</v>
      </c>
      <c r="O82" s="341">
        <f t="shared" si="11"/>
        <v>83265</v>
      </c>
      <c r="P82" s="341">
        <f t="shared" si="11"/>
        <v>3508339.4099999666</v>
      </c>
      <c r="Q82" s="341">
        <f t="shared" si="11"/>
        <v>323673.4399999995</v>
      </c>
      <c r="R82" s="342">
        <f t="shared" si="11"/>
        <v>16390.710000000894</v>
      </c>
      <c r="S82" s="343">
        <f t="shared" si="8"/>
        <v>119773300.27999994</v>
      </c>
    </row>
  </sheetData>
  <sheetProtection/>
  <printOptions horizontalCentered="1"/>
  <pageMargins left="0" right="0" top="0.1968503937007874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2"/>
  <sheetViews>
    <sheetView zoomScale="75" zoomScaleNormal="75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" sqref="E2"/>
    </sheetView>
  </sheetViews>
  <sheetFormatPr defaultColWidth="9.140625" defaultRowHeight="12.75"/>
  <cols>
    <col min="1" max="1" width="6.7109375" style="76" customWidth="1"/>
    <col min="2" max="2" width="43.00390625" style="76" customWidth="1"/>
    <col min="3" max="3" width="6.421875" style="76" bestFit="1" customWidth="1"/>
    <col min="4" max="4" width="10.421875" style="76" bestFit="1" customWidth="1"/>
    <col min="5" max="5" width="13.28125" style="76" bestFit="1" customWidth="1"/>
    <col min="6" max="6" width="12.140625" style="76" bestFit="1" customWidth="1"/>
    <col min="7" max="8" width="13.28125" style="76" bestFit="1" customWidth="1"/>
    <col min="9" max="9" width="14.421875" style="76" bestFit="1" customWidth="1"/>
    <col min="10" max="10" width="13.28125" style="76" bestFit="1" customWidth="1"/>
    <col min="11" max="11" width="11.57421875" style="76" bestFit="1" customWidth="1"/>
    <col min="12" max="13" width="13.28125" style="76" bestFit="1" customWidth="1"/>
    <col min="14" max="14" width="14.421875" style="76" bestFit="1" customWidth="1"/>
    <col min="15" max="16384" width="9.140625" style="76" customWidth="1"/>
  </cols>
  <sheetData>
    <row r="1" spans="1:14" ht="15.75">
      <c r="A1" s="71"/>
      <c r="B1" s="72"/>
      <c r="C1" s="73"/>
      <c r="D1" s="73"/>
      <c r="E1" s="74"/>
      <c r="F1" s="73"/>
      <c r="G1" s="73"/>
      <c r="H1" s="75"/>
      <c r="N1" s="79" t="s">
        <v>171</v>
      </c>
    </row>
    <row r="2" spans="1:9" ht="15.75">
      <c r="A2" s="77" t="s">
        <v>674</v>
      </c>
      <c r="B2" s="72"/>
      <c r="C2" s="72"/>
      <c r="D2" s="72"/>
      <c r="E2" s="74"/>
      <c r="F2" s="72"/>
      <c r="G2" s="72"/>
      <c r="H2" s="78"/>
      <c r="I2" s="78"/>
    </row>
    <row r="3" spans="1:14" ht="16.5" thickBo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302" t="s">
        <v>406</v>
      </c>
    </row>
    <row r="4" spans="1:14" s="190" customFormat="1" ht="18" customHeight="1" thickBot="1">
      <c r="A4" s="210" t="s">
        <v>205</v>
      </c>
      <c r="B4" s="210" t="s">
        <v>206</v>
      </c>
      <c r="C4" s="211" t="s">
        <v>26</v>
      </c>
      <c r="D4" s="212" t="s">
        <v>408</v>
      </c>
      <c r="E4" s="212" t="s">
        <v>409</v>
      </c>
      <c r="F4" s="212" t="s">
        <v>410</v>
      </c>
      <c r="G4" s="212" t="s">
        <v>166</v>
      </c>
      <c r="H4" s="212" t="s">
        <v>27</v>
      </c>
      <c r="I4" s="212" t="s">
        <v>411</v>
      </c>
      <c r="J4" s="212" t="s">
        <v>28</v>
      </c>
      <c r="K4" s="212" t="s">
        <v>192</v>
      </c>
      <c r="L4" s="212" t="s">
        <v>413</v>
      </c>
      <c r="M4" s="212" t="s">
        <v>193</v>
      </c>
      <c r="N4" s="213" t="s">
        <v>102</v>
      </c>
    </row>
    <row r="5" spans="1:14" s="217" customFormat="1" ht="14.25" customHeight="1">
      <c r="A5" s="214" t="s">
        <v>208</v>
      </c>
      <c r="B5" s="215" t="s">
        <v>414</v>
      </c>
      <c r="C5" s="216"/>
      <c r="D5" s="303">
        <f>SUM(D6,D37,D42)</f>
        <v>15650.34</v>
      </c>
      <c r="E5" s="303">
        <f aca="true" t="shared" si="0" ref="E5:M5">SUM(E6,E37,E42)</f>
        <v>1921824.6400000001</v>
      </c>
      <c r="F5" s="303">
        <f>SUM(F6,F37,F42)</f>
        <v>910683.23</v>
      </c>
      <c r="G5" s="303">
        <f t="shared" si="0"/>
        <v>823229.28</v>
      </c>
      <c r="H5" s="303">
        <f t="shared" si="0"/>
        <v>1765789</v>
      </c>
      <c r="I5" s="303">
        <f>SUM(I6,I37,I42)</f>
        <v>1353305.48</v>
      </c>
      <c r="J5" s="303">
        <f t="shared" si="0"/>
        <v>1865607.72</v>
      </c>
      <c r="K5" s="303">
        <f t="shared" si="0"/>
        <v>0</v>
      </c>
      <c r="L5" s="303">
        <f t="shared" si="0"/>
        <v>3047926.98</v>
      </c>
      <c r="M5" s="303">
        <f t="shared" si="0"/>
        <v>1144730.54</v>
      </c>
      <c r="N5" s="304">
        <f aca="true" t="shared" si="1" ref="N5:N68">SUM(D5:M5)</f>
        <v>12848747.21</v>
      </c>
    </row>
    <row r="6" spans="1:14" s="217" customFormat="1" ht="14.25" customHeight="1">
      <c r="A6" s="218" t="s">
        <v>209</v>
      </c>
      <c r="B6" s="219" t="s">
        <v>210</v>
      </c>
      <c r="C6" s="220"/>
      <c r="D6" s="305">
        <f>SUM(D7:D36)</f>
        <v>15650.34</v>
      </c>
      <c r="E6" s="305">
        <f aca="true" t="shared" si="2" ref="E6:M6">SUM(E7:E36)</f>
        <v>1917954.35</v>
      </c>
      <c r="F6" s="305">
        <f>SUM(F7:F36)</f>
        <v>909934.82</v>
      </c>
      <c r="G6" s="305">
        <f t="shared" si="2"/>
        <v>821696.28</v>
      </c>
      <c r="H6" s="305">
        <f t="shared" si="2"/>
        <v>1765789</v>
      </c>
      <c r="I6" s="305">
        <f>SUM(I7:I36)</f>
        <v>1353305.48</v>
      </c>
      <c r="J6" s="305">
        <f t="shared" si="2"/>
        <v>1865607.72</v>
      </c>
      <c r="K6" s="305">
        <f t="shared" si="2"/>
        <v>0</v>
      </c>
      <c r="L6" s="305">
        <f t="shared" si="2"/>
        <v>3037380.05</v>
      </c>
      <c r="M6" s="305">
        <f t="shared" si="2"/>
        <v>1144730.54</v>
      </c>
      <c r="N6" s="306">
        <f t="shared" si="1"/>
        <v>12832048.579999998</v>
      </c>
    </row>
    <row r="7" spans="1:14" s="190" customFormat="1" ht="14.25" customHeight="1">
      <c r="A7" s="221" t="s">
        <v>211</v>
      </c>
      <c r="B7" s="222" t="s">
        <v>30</v>
      </c>
      <c r="C7" s="223" t="s">
        <v>29</v>
      </c>
      <c r="D7" s="307">
        <v>0</v>
      </c>
      <c r="E7" s="307">
        <v>408730.28</v>
      </c>
      <c r="F7" s="307">
        <v>156168.75</v>
      </c>
      <c r="G7" s="307">
        <v>143480.37</v>
      </c>
      <c r="H7" s="307">
        <v>0</v>
      </c>
      <c r="I7" s="307">
        <v>8463</v>
      </c>
      <c r="J7" s="307">
        <v>396187.86</v>
      </c>
      <c r="K7" s="307">
        <v>0</v>
      </c>
      <c r="L7" s="307">
        <v>722350.14</v>
      </c>
      <c r="M7" s="307">
        <v>139877.82</v>
      </c>
      <c r="N7" s="308">
        <f t="shared" si="1"/>
        <v>1975258.22</v>
      </c>
    </row>
    <row r="8" spans="1:14" s="190" customFormat="1" ht="14.25" customHeight="1">
      <c r="A8" s="221" t="s">
        <v>212</v>
      </c>
      <c r="B8" s="224" t="s">
        <v>32</v>
      </c>
      <c r="C8" s="225" t="s">
        <v>31</v>
      </c>
      <c r="D8" s="309">
        <v>0</v>
      </c>
      <c r="E8" s="309">
        <v>81394.33</v>
      </c>
      <c r="F8" s="309">
        <v>59453.22</v>
      </c>
      <c r="G8" s="309">
        <v>5683</v>
      </c>
      <c r="H8" s="309">
        <v>0</v>
      </c>
      <c r="I8" s="309">
        <v>0</v>
      </c>
      <c r="J8" s="309">
        <v>219110.45</v>
      </c>
      <c r="K8" s="309">
        <v>0</v>
      </c>
      <c r="L8" s="309">
        <v>303932</v>
      </c>
      <c r="M8" s="309">
        <v>156728.28</v>
      </c>
      <c r="N8" s="310">
        <f t="shared" si="1"/>
        <v>826301.28</v>
      </c>
    </row>
    <row r="9" spans="1:14" s="190" customFormat="1" ht="14.25" customHeight="1">
      <c r="A9" s="221" t="s">
        <v>213</v>
      </c>
      <c r="B9" s="224" t="s">
        <v>214</v>
      </c>
      <c r="C9" s="225" t="s">
        <v>33</v>
      </c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  <c r="J9" s="309">
        <v>0</v>
      </c>
      <c r="K9" s="309">
        <v>0</v>
      </c>
      <c r="L9" s="309">
        <v>0</v>
      </c>
      <c r="M9" s="309">
        <v>0</v>
      </c>
      <c r="N9" s="310">
        <f t="shared" si="1"/>
        <v>0</v>
      </c>
    </row>
    <row r="10" spans="1:14" s="190" customFormat="1" ht="14.25" customHeight="1">
      <c r="A10" s="221" t="s">
        <v>215</v>
      </c>
      <c r="B10" s="224" t="s">
        <v>35</v>
      </c>
      <c r="C10" s="225" t="s">
        <v>34</v>
      </c>
      <c r="D10" s="309">
        <v>12050.34</v>
      </c>
      <c r="E10" s="309">
        <v>390399.07</v>
      </c>
      <c r="F10" s="309">
        <v>0</v>
      </c>
      <c r="G10" s="309">
        <v>19428.5</v>
      </c>
      <c r="H10" s="309">
        <v>0</v>
      </c>
      <c r="I10" s="309">
        <v>0</v>
      </c>
      <c r="J10" s="309">
        <v>89571</v>
      </c>
      <c r="K10" s="309">
        <v>0</v>
      </c>
      <c r="L10" s="309">
        <v>0</v>
      </c>
      <c r="M10" s="309">
        <v>9171</v>
      </c>
      <c r="N10" s="310">
        <f t="shared" si="1"/>
        <v>520619.91000000003</v>
      </c>
    </row>
    <row r="11" spans="1:14" s="190" customFormat="1" ht="14.25" customHeight="1">
      <c r="A11" s="221" t="s">
        <v>216</v>
      </c>
      <c r="B11" s="224" t="s">
        <v>37</v>
      </c>
      <c r="C11" s="225" t="s">
        <v>36</v>
      </c>
      <c r="D11" s="309">
        <v>0</v>
      </c>
      <c r="E11" s="309">
        <v>160940.66</v>
      </c>
      <c r="F11" s="309">
        <v>14785.58</v>
      </c>
      <c r="G11" s="309">
        <v>10203</v>
      </c>
      <c r="H11" s="309">
        <v>0</v>
      </c>
      <c r="I11" s="309">
        <v>0</v>
      </c>
      <c r="J11" s="309">
        <v>21727.3</v>
      </c>
      <c r="K11" s="309">
        <v>0</v>
      </c>
      <c r="L11" s="309">
        <v>280082</v>
      </c>
      <c r="M11" s="309">
        <v>29312</v>
      </c>
      <c r="N11" s="310">
        <f t="shared" si="1"/>
        <v>517050.54</v>
      </c>
    </row>
    <row r="12" spans="1:14" s="190" customFormat="1" ht="14.25" customHeight="1">
      <c r="A12" s="221" t="s">
        <v>217</v>
      </c>
      <c r="B12" s="224" t="s">
        <v>39</v>
      </c>
      <c r="C12" s="225" t="s">
        <v>38</v>
      </c>
      <c r="D12" s="309">
        <v>0</v>
      </c>
      <c r="E12" s="309">
        <v>0</v>
      </c>
      <c r="F12" s="309">
        <v>922.02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  <c r="L12" s="309">
        <v>0</v>
      </c>
      <c r="M12" s="309">
        <v>0</v>
      </c>
      <c r="N12" s="310">
        <f t="shared" si="1"/>
        <v>922.02</v>
      </c>
    </row>
    <row r="13" spans="1:14" s="190" customFormat="1" ht="14.25" customHeight="1">
      <c r="A13" s="221" t="s">
        <v>218</v>
      </c>
      <c r="B13" s="224" t="s">
        <v>41</v>
      </c>
      <c r="C13" s="225" t="s">
        <v>40</v>
      </c>
      <c r="D13" s="309">
        <v>0</v>
      </c>
      <c r="E13" s="309">
        <v>0</v>
      </c>
      <c r="F13" s="309">
        <v>880.11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  <c r="L13" s="309">
        <v>0</v>
      </c>
      <c r="M13" s="309">
        <v>0</v>
      </c>
      <c r="N13" s="310">
        <f t="shared" si="1"/>
        <v>880.11</v>
      </c>
    </row>
    <row r="14" spans="1:14" s="190" customFormat="1" ht="14.25" customHeight="1">
      <c r="A14" s="221" t="s">
        <v>219</v>
      </c>
      <c r="B14" s="224" t="s">
        <v>43</v>
      </c>
      <c r="C14" s="225" t="s">
        <v>42</v>
      </c>
      <c r="D14" s="309">
        <v>3600</v>
      </c>
      <c r="E14" s="309">
        <v>82250.26</v>
      </c>
      <c r="F14" s="309">
        <v>79089.19</v>
      </c>
      <c r="G14" s="309">
        <v>144901.6</v>
      </c>
      <c r="H14" s="309">
        <v>0</v>
      </c>
      <c r="I14" s="309">
        <v>603130</v>
      </c>
      <c r="J14" s="309">
        <v>133029.35</v>
      </c>
      <c r="K14" s="309">
        <v>0</v>
      </c>
      <c r="L14" s="309">
        <v>185106.91</v>
      </c>
      <c r="M14" s="309">
        <v>549210.44</v>
      </c>
      <c r="N14" s="310">
        <f t="shared" si="1"/>
        <v>1780317.75</v>
      </c>
    </row>
    <row r="15" spans="1:14" s="190" customFormat="1" ht="14.25" customHeight="1">
      <c r="A15" s="221" t="s">
        <v>220</v>
      </c>
      <c r="B15" s="224" t="s">
        <v>45</v>
      </c>
      <c r="C15" s="225" t="s">
        <v>44</v>
      </c>
      <c r="D15" s="309">
        <v>0</v>
      </c>
      <c r="E15" s="309">
        <v>596293</v>
      </c>
      <c r="F15" s="309">
        <v>364346</v>
      </c>
      <c r="G15" s="309">
        <v>359222</v>
      </c>
      <c r="H15" s="309">
        <v>1342841</v>
      </c>
      <c r="I15" s="309">
        <v>675174</v>
      </c>
      <c r="J15" s="309">
        <v>749106</v>
      </c>
      <c r="K15" s="309">
        <v>0</v>
      </c>
      <c r="L15" s="309">
        <v>642465</v>
      </c>
      <c r="M15" s="309">
        <v>214635</v>
      </c>
      <c r="N15" s="310">
        <f t="shared" si="1"/>
        <v>4944082</v>
      </c>
    </row>
    <row r="16" spans="1:14" s="190" customFormat="1" ht="14.25" customHeight="1">
      <c r="A16" s="221" t="s">
        <v>221</v>
      </c>
      <c r="B16" s="224" t="s">
        <v>47</v>
      </c>
      <c r="C16" s="225" t="s">
        <v>46</v>
      </c>
      <c r="D16" s="309">
        <v>0</v>
      </c>
      <c r="E16" s="309">
        <v>193219.01</v>
      </c>
      <c r="F16" s="309">
        <v>114720</v>
      </c>
      <c r="G16" s="309">
        <v>96107</v>
      </c>
      <c r="H16" s="309">
        <v>414311</v>
      </c>
      <c r="I16" s="309">
        <v>63742</v>
      </c>
      <c r="J16" s="309">
        <v>240928</v>
      </c>
      <c r="K16" s="309">
        <v>0</v>
      </c>
      <c r="L16" s="309">
        <v>200224</v>
      </c>
      <c r="M16" s="309">
        <v>44268</v>
      </c>
      <c r="N16" s="310">
        <f t="shared" si="1"/>
        <v>1367519.01</v>
      </c>
    </row>
    <row r="17" spans="1:14" s="190" customFormat="1" ht="14.25" customHeight="1">
      <c r="A17" s="221" t="s">
        <v>222</v>
      </c>
      <c r="B17" s="224" t="s">
        <v>223</v>
      </c>
      <c r="C17" s="225" t="s">
        <v>48</v>
      </c>
      <c r="D17" s="309">
        <v>0</v>
      </c>
      <c r="E17" s="309">
        <v>0</v>
      </c>
      <c r="F17" s="309">
        <v>1656.64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10">
        <f t="shared" si="1"/>
        <v>1656.64</v>
      </c>
    </row>
    <row r="18" spans="1:14" s="190" customFormat="1" ht="14.25" customHeight="1">
      <c r="A18" s="221" t="s">
        <v>224</v>
      </c>
      <c r="B18" s="224" t="s">
        <v>50</v>
      </c>
      <c r="C18" s="225" t="s">
        <v>49</v>
      </c>
      <c r="D18" s="309">
        <v>0</v>
      </c>
      <c r="E18" s="309">
        <v>4456.86</v>
      </c>
      <c r="F18" s="309">
        <v>11768.86</v>
      </c>
      <c r="G18" s="309">
        <v>2827</v>
      </c>
      <c r="H18" s="309">
        <v>8637</v>
      </c>
      <c r="I18" s="309">
        <v>0</v>
      </c>
      <c r="J18" s="309">
        <v>4037</v>
      </c>
      <c r="K18" s="309">
        <v>0</v>
      </c>
      <c r="L18" s="309">
        <v>4047</v>
      </c>
      <c r="M18" s="309">
        <v>0</v>
      </c>
      <c r="N18" s="310">
        <f t="shared" si="1"/>
        <v>35773.72</v>
      </c>
    </row>
    <row r="19" spans="1:14" s="190" customFormat="1" ht="14.25" customHeight="1">
      <c r="A19" s="221" t="s">
        <v>225</v>
      </c>
      <c r="B19" s="224" t="s">
        <v>226</v>
      </c>
      <c r="C19" s="225" t="s">
        <v>51</v>
      </c>
      <c r="D19" s="309">
        <v>0</v>
      </c>
      <c r="E19" s="309">
        <v>0</v>
      </c>
      <c r="F19" s="309">
        <v>0</v>
      </c>
      <c r="G19" s="309">
        <v>2178</v>
      </c>
      <c r="H19" s="309">
        <v>0</v>
      </c>
      <c r="I19" s="309">
        <v>0</v>
      </c>
      <c r="J19" s="309">
        <v>2242</v>
      </c>
      <c r="K19" s="309">
        <v>0</v>
      </c>
      <c r="L19" s="309">
        <v>0</v>
      </c>
      <c r="M19" s="309">
        <v>0</v>
      </c>
      <c r="N19" s="310">
        <f t="shared" si="1"/>
        <v>4420</v>
      </c>
    </row>
    <row r="20" spans="1:14" s="190" customFormat="1" ht="14.25" customHeight="1">
      <c r="A20" s="221" t="s">
        <v>227</v>
      </c>
      <c r="B20" s="224" t="s">
        <v>53</v>
      </c>
      <c r="C20" s="225" t="s">
        <v>52</v>
      </c>
      <c r="D20" s="309">
        <v>0</v>
      </c>
      <c r="E20" s="309">
        <v>0</v>
      </c>
      <c r="F20" s="309">
        <v>0</v>
      </c>
      <c r="G20" s="309">
        <v>0</v>
      </c>
      <c r="H20" s="309">
        <v>0</v>
      </c>
      <c r="I20" s="309">
        <v>0</v>
      </c>
      <c r="J20" s="309">
        <v>3600</v>
      </c>
      <c r="K20" s="309">
        <v>0</v>
      </c>
      <c r="L20" s="309">
        <v>0</v>
      </c>
      <c r="M20" s="309">
        <v>0</v>
      </c>
      <c r="N20" s="310">
        <f t="shared" si="1"/>
        <v>3600</v>
      </c>
    </row>
    <row r="21" spans="1:14" s="190" customFormat="1" ht="14.25" customHeight="1">
      <c r="A21" s="221" t="s">
        <v>228</v>
      </c>
      <c r="B21" s="224" t="s">
        <v>55</v>
      </c>
      <c r="C21" s="225" t="s">
        <v>54</v>
      </c>
      <c r="D21" s="309">
        <v>0</v>
      </c>
      <c r="E21" s="309">
        <v>0</v>
      </c>
      <c r="F21" s="309">
        <v>5580.6</v>
      </c>
      <c r="G21" s="309">
        <v>0</v>
      </c>
      <c r="H21" s="309">
        <v>0</v>
      </c>
      <c r="I21" s="309">
        <v>0</v>
      </c>
      <c r="J21" s="309">
        <v>0</v>
      </c>
      <c r="K21" s="309">
        <v>0</v>
      </c>
      <c r="L21" s="309">
        <v>0</v>
      </c>
      <c r="M21" s="309">
        <v>0</v>
      </c>
      <c r="N21" s="310">
        <f t="shared" si="1"/>
        <v>5580.6</v>
      </c>
    </row>
    <row r="22" spans="1:14" s="190" customFormat="1" ht="14.25" customHeight="1">
      <c r="A22" s="221" t="s">
        <v>229</v>
      </c>
      <c r="B22" s="224" t="s">
        <v>230</v>
      </c>
      <c r="C22" s="225" t="s">
        <v>56</v>
      </c>
      <c r="D22" s="309">
        <v>0</v>
      </c>
      <c r="E22" s="309">
        <v>0</v>
      </c>
      <c r="F22" s="309">
        <v>824.65</v>
      </c>
      <c r="G22" s="309">
        <v>0</v>
      </c>
      <c r="H22" s="309">
        <v>0</v>
      </c>
      <c r="I22" s="309">
        <v>0</v>
      </c>
      <c r="J22" s="309">
        <v>750</v>
      </c>
      <c r="K22" s="309">
        <v>0</v>
      </c>
      <c r="L22" s="309">
        <v>0</v>
      </c>
      <c r="M22" s="309">
        <v>0</v>
      </c>
      <c r="N22" s="310">
        <f t="shared" si="1"/>
        <v>1574.65</v>
      </c>
    </row>
    <row r="23" spans="1:14" s="190" customFormat="1" ht="14.25" customHeight="1">
      <c r="A23" s="221" t="s">
        <v>231</v>
      </c>
      <c r="B23" s="224" t="s">
        <v>58</v>
      </c>
      <c r="C23" s="225" t="s">
        <v>57</v>
      </c>
      <c r="D23" s="309">
        <v>0</v>
      </c>
      <c r="E23" s="309">
        <v>0</v>
      </c>
      <c r="F23" s="309">
        <v>0</v>
      </c>
      <c r="G23" s="309">
        <v>0</v>
      </c>
      <c r="H23" s="309">
        <v>0</v>
      </c>
      <c r="I23" s="309">
        <v>0</v>
      </c>
      <c r="J23" s="309">
        <v>0</v>
      </c>
      <c r="K23" s="309">
        <v>0</v>
      </c>
      <c r="L23" s="309">
        <v>0</v>
      </c>
      <c r="M23" s="309">
        <v>0</v>
      </c>
      <c r="N23" s="310">
        <f t="shared" si="1"/>
        <v>0</v>
      </c>
    </row>
    <row r="24" spans="1:14" s="190" customFormat="1" ht="14.25" customHeight="1">
      <c r="A24" s="221" t="s">
        <v>232</v>
      </c>
      <c r="B24" s="224" t="s">
        <v>233</v>
      </c>
      <c r="C24" s="225" t="s">
        <v>59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309">
        <v>0</v>
      </c>
      <c r="J24" s="309">
        <v>0</v>
      </c>
      <c r="K24" s="309">
        <v>0</v>
      </c>
      <c r="L24" s="309">
        <v>0</v>
      </c>
      <c r="M24" s="309">
        <v>0</v>
      </c>
      <c r="N24" s="310">
        <f t="shared" si="1"/>
        <v>0</v>
      </c>
    </row>
    <row r="25" spans="1:14" s="190" customFormat="1" ht="14.25" customHeight="1">
      <c r="A25" s="221" t="s">
        <v>234</v>
      </c>
      <c r="B25" s="224" t="s">
        <v>64</v>
      </c>
      <c r="C25" s="225" t="s">
        <v>60</v>
      </c>
      <c r="D25" s="309">
        <v>0</v>
      </c>
      <c r="E25" s="309">
        <v>0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09">
        <v>0</v>
      </c>
      <c r="N25" s="310">
        <f t="shared" si="1"/>
        <v>0</v>
      </c>
    </row>
    <row r="26" spans="1:14" s="190" customFormat="1" ht="14.25" customHeight="1">
      <c r="A26" s="221" t="s">
        <v>235</v>
      </c>
      <c r="B26" s="224" t="s">
        <v>72</v>
      </c>
      <c r="C26" s="225" t="s">
        <v>61</v>
      </c>
      <c r="D26" s="309">
        <v>0</v>
      </c>
      <c r="E26" s="309">
        <v>0</v>
      </c>
      <c r="F26" s="309">
        <v>0</v>
      </c>
      <c r="G26" s="309">
        <v>0</v>
      </c>
      <c r="H26" s="309">
        <v>0</v>
      </c>
      <c r="I26" s="309">
        <v>0</v>
      </c>
      <c r="J26" s="309">
        <v>0</v>
      </c>
      <c r="K26" s="309">
        <v>0</v>
      </c>
      <c r="L26" s="309">
        <v>0</v>
      </c>
      <c r="M26" s="309">
        <v>0</v>
      </c>
      <c r="N26" s="310">
        <f t="shared" si="1"/>
        <v>0</v>
      </c>
    </row>
    <row r="27" spans="1:14" s="190" customFormat="1" ht="14.25" customHeight="1">
      <c r="A27" s="221" t="s">
        <v>236</v>
      </c>
      <c r="B27" s="224" t="s">
        <v>66</v>
      </c>
      <c r="C27" s="225" t="s">
        <v>237</v>
      </c>
      <c r="D27" s="309">
        <v>0</v>
      </c>
      <c r="E27" s="309">
        <v>270.88</v>
      </c>
      <c r="F27" s="309">
        <v>0</v>
      </c>
      <c r="G27" s="309">
        <v>32</v>
      </c>
      <c r="H27" s="309">
        <v>0</v>
      </c>
      <c r="I27" s="309">
        <v>0</v>
      </c>
      <c r="J27" s="309">
        <v>0</v>
      </c>
      <c r="K27" s="309">
        <v>0</v>
      </c>
      <c r="L27" s="309">
        <v>0</v>
      </c>
      <c r="M27" s="309">
        <v>0</v>
      </c>
      <c r="N27" s="310">
        <f t="shared" si="1"/>
        <v>302.88</v>
      </c>
    </row>
    <row r="28" spans="1:14" s="190" customFormat="1" ht="14.25" customHeight="1">
      <c r="A28" s="221" t="s">
        <v>238</v>
      </c>
      <c r="B28" s="224" t="s">
        <v>239</v>
      </c>
      <c r="C28" s="225" t="s">
        <v>65</v>
      </c>
      <c r="D28" s="309">
        <v>0</v>
      </c>
      <c r="E28" s="309">
        <v>0</v>
      </c>
      <c r="F28" s="309">
        <v>0</v>
      </c>
      <c r="G28" s="309">
        <v>0</v>
      </c>
      <c r="H28" s="309">
        <v>0</v>
      </c>
      <c r="I28" s="309">
        <v>0</v>
      </c>
      <c r="J28" s="309">
        <v>0</v>
      </c>
      <c r="K28" s="309">
        <v>0</v>
      </c>
      <c r="L28" s="309">
        <v>0</v>
      </c>
      <c r="M28" s="309">
        <v>0</v>
      </c>
      <c r="N28" s="310">
        <f t="shared" si="1"/>
        <v>0</v>
      </c>
    </row>
    <row r="29" spans="1:14" s="190" customFormat="1" ht="14.25" customHeight="1">
      <c r="A29" s="221" t="s">
        <v>240</v>
      </c>
      <c r="B29" s="224" t="s">
        <v>241</v>
      </c>
      <c r="C29" s="225" t="s">
        <v>68</v>
      </c>
      <c r="D29" s="309">
        <v>0</v>
      </c>
      <c r="E29" s="309">
        <v>0</v>
      </c>
      <c r="F29" s="309">
        <v>91548.06</v>
      </c>
      <c r="G29" s="309">
        <v>16955</v>
      </c>
      <c r="H29" s="309">
        <v>0</v>
      </c>
      <c r="I29" s="309">
        <v>0</v>
      </c>
      <c r="J29" s="309">
        <v>0</v>
      </c>
      <c r="K29" s="309">
        <v>0</v>
      </c>
      <c r="L29" s="309">
        <v>668400</v>
      </c>
      <c r="M29" s="309">
        <v>0</v>
      </c>
      <c r="N29" s="310">
        <f t="shared" si="1"/>
        <v>776903.06</v>
      </c>
    </row>
    <row r="30" spans="1:14" s="190" customFormat="1" ht="14.25" customHeight="1">
      <c r="A30" s="311" t="s">
        <v>242</v>
      </c>
      <c r="B30" s="312" t="s">
        <v>243</v>
      </c>
      <c r="C30" s="225" t="s">
        <v>69</v>
      </c>
      <c r="D30" s="309">
        <v>0</v>
      </c>
      <c r="E30" s="309">
        <v>0</v>
      </c>
      <c r="F30" s="309">
        <v>0</v>
      </c>
      <c r="G30" s="309">
        <v>0</v>
      </c>
      <c r="H30" s="309">
        <v>0</v>
      </c>
      <c r="I30" s="309">
        <v>0</v>
      </c>
      <c r="J30" s="309">
        <v>0</v>
      </c>
      <c r="K30" s="309">
        <v>0</v>
      </c>
      <c r="L30" s="309">
        <v>0</v>
      </c>
      <c r="M30" s="309">
        <v>0</v>
      </c>
      <c r="N30" s="310">
        <f t="shared" si="1"/>
        <v>0</v>
      </c>
    </row>
    <row r="31" spans="1:14" s="190" customFormat="1" ht="14.25" customHeight="1">
      <c r="A31" s="311" t="s">
        <v>244</v>
      </c>
      <c r="B31" s="312" t="s">
        <v>245</v>
      </c>
      <c r="C31" s="225" t="s">
        <v>70</v>
      </c>
      <c r="D31" s="309"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  <c r="J31" s="309">
        <v>0</v>
      </c>
      <c r="K31" s="309">
        <v>0</v>
      </c>
      <c r="L31" s="309">
        <v>0</v>
      </c>
      <c r="M31" s="309">
        <v>0</v>
      </c>
      <c r="N31" s="310">
        <f t="shared" si="1"/>
        <v>0</v>
      </c>
    </row>
    <row r="32" spans="1:14" s="190" customFormat="1" ht="14.25" customHeight="1">
      <c r="A32" s="221" t="s">
        <v>246</v>
      </c>
      <c r="B32" s="224" t="s">
        <v>247</v>
      </c>
      <c r="C32" s="225" t="s">
        <v>71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09">
        <v>0</v>
      </c>
      <c r="M32" s="309">
        <v>0</v>
      </c>
      <c r="N32" s="310">
        <f t="shared" si="1"/>
        <v>0</v>
      </c>
    </row>
    <row r="33" spans="1:14" s="190" customFormat="1" ht="14.25" customHeight="1">
      <c r="A33" s="221" t="s">
        <v>248</v>
      </c>
      <c r="B33" s="224" t="s">
        <v>249</v>
      </c>
      <c r="C33" s="225" t="s">
        <v>250</v>
      </c>
      <c r="D33" s="309">
        <v>0</v>
      </c>
      <c r="E33" s="309">
        <v>0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309">
        <v>0</v>
      </c>
      <c r="L33" s="309">
        <v>0</v>
      </c>
      <c r="M33" s="309">
        <v>0</v>
      </c>
      <c r="N33" s="310">
        <f t="shared" si="1"/>
        <v>0</v>
      </c>
    </row>
    <row r="34" spans="1:14" s="190" customFormat="1" ht="14.25" customHeight="1">
      <c r="A34" s="221" t="s">
        <v>251</v>
      </c>
      <c r="B34" s="224" t="s">
        <v>252</v>
      </c>
      <c r="C34" s="225" t="s">
        <v>73</v>
      </c>
      <c r="D34" s="309">
        <v>0</v>
      </c>
      <c r="E34" s="309">
        <v>0</v>
      </c>
      <c r="F34" s="309">
        <v>0</v>
      </c>
      <c r="G34" s="309">
        <v>19492.3</v>
      </c>
      <c r="H34" s="309">
        <v>0</v>
      </c>
      <c r="I34" s="309">
        <v>2796.6</v>
      </c>
      <c r="J34" s="309">
        <v>0</v>
      </c>
      <c r="K34" s="309">
        <v>0</v>
      </c>
      <c r="L34" s="309">
        <v>0</v>
      </c>
      <c r="M34" s="309">
        <v>0</v>
      </c>
      <c r="N34" s="310">
        <f t="shared" si="1"/>
        <v>22288.899999999998</v>
      </c>
    </row>
    <row r="35" spans="1:14" s="190" customFormat="1" ht="14.25" customHeight="1">
      <c r="A35" s="221" t="s">
        <v>253</v>
      </c>
      <c r="B35" s="224" t="s">
        <v>254</v>
      </c>
      <c r="C35" s="225" t="s">
        <v>255</v>
      </c>
      <c r="D35" s="309">
        <v>0</v>
      </c>
      <c r="E35" s="309">
        <v>0</v>
      </c>
      <c r="F35" s="309">
        <v>0</v>
      </c>
      <c r="G35" s="309">
        <v>0</v>
      </c>
      <c r="H35" s="309">
        <v>0</v>
      </c>
      <c r="I35" s="309">
        <v>0</v>
      </c>
      <c r="J35" s="309">
        <v>0</v>
      </c>
      <c r="K35" s="309">
        <v>0</v>
      </c>
      <c r="L35" s="309">
        <v>0</v>
      </c>
      <c r="M35" s="309">
        <v>0</v>
      </c>
      <c r="N35" s="310">
        <f t="shared" si="1"/>
        <v>0</v>
      </c>
    </row>
    <row r="36" spans="1:14" s="190" customFormat="1" ht="14.25" customHeight="1">
      <c r="A36" s="221" t="s">
        <v>256</v>
      </c>
      <c r="B36" s="226" t="s">
        <v>257</v>
      </c>
      <c r="C36" s="225" t="s">
        <v>67</v>
      </c>
      <c r="D36" s="313">
        <v>0</v>
      </c>
      <c r="E36" s="313">
        <v>0</v>
      </c>
      <c r="F36" s="313">
        <v>8191.14</v>
      </c>
      <c r="G36" s="313">
        <v>1186.51</v>
      </c>
      <c r="H36" s="313">
        <v>0</v>
      </c>
      <c r="I36" s="313">
        <v>-0.12</v>
      </c>
      <c r="J36" s="313">
        <v>5318.76</v>
      </c>
      <c r="K36" s="313">
        <v>0</v>
      </c>
      <c r="L36" s="313">
        <v>30773</v>
      </c>
      <c r="M36" s="313">
        <v>1528</v>
      </c>
      <c r="N36" s="314">
        <f t="shared" si="1"/>
        <v>46997.29</v>
      </c>
    </row>
    <row r="37" spans="1:14" s="190" customFormat="1" ht="14.25" customHeight="1">
      <c r="A37" s="227" t="s">
        <v>258</v>
      </c>
      <c r="B37" s="228" t="s">
        <v>259</v>
      </c>
      <c r="C37" s="220"/>
      <c r="D37" s="305">
        <f>SUM(D38:D41)</f>
        <v>0</v>
      </c>
      <c r="E37" s="305">
        <f aca="true" t="shared" si="3" ref="E37:M37">SUM(E38:E41)</f>
        <v>3870.29</v>
      </c>
      <c r="F37" s="305">
        <f>SUM(F38:F41)</f>
        <v>748.41</v>
      </c>
      <c r="G37" s="305">
        <f t="shared" si="3"/>
        <v>1533</v>
      </c>
      <c r="H37" s="305">
        <f t="shared" si="3"/>
        <v>0</v>
      </c>
      <c r="I37" s="305">
        <f>SUM(I38:I41)</f>
        <v>0</v>
      </c>
      <c r="J37" s="305">
        <f t="shared" si="3"/>
        <v>0</v>
      </c>
      <c r="K37" s="305">
        <f t="shared" si="3"/>
        <v>0</v>
      </c>
      <c r="L37" s="305">
        <f t="shared" si="3"/>
        <v>10546.93</v>
      </c>
      <c r="M37" s="305">
        <f t="shared" si="3"/>
        <v>0</v>
      </c>
      <c r="N37" s="306">
        <f t="shared" si="1"/>
        <v>16698.63</v>
      </c>
    </row>
    <row r="38" spans="1:14" s="190" customFormat="1" ht="14.25" customHeight="1">
      <c r="A38" s="221" t="s">
        <v>212</v>
      </c>
      <c r="B38" s="229" t="s">
        <v>62</v>
      </c>
      <c r="C38" s="225" t="s">
        <v>260</v>
      </c>
      <c r="D38" s="309">
        <v>0</v>
      </c>
      <c r="E38" s="309">
        <v>0</v>
      </c>
      <c r="F38" s="309">
        <v>0</v>
      </c>
      <c r="G38" s="309">
        <v>0</v>
      </c>
      <c r="H38" s="309">
        <v>0</v>
      </c>
      <c r="I38" s="309">
        <v>0</v>
      </c>
      <c r="J38" s="309">
        <v>0</v>
      </c>
      <c r="K38" s="309">
        <v>0</v>
      </c>
      <c r="L38" s="309">
        <v>0</v>
      </c>
      <c r="M38" s="309">
        <v>0</v>
      </c>
      <c r="N38" s="310">
        <f t="shared" si="1"/>
        <v>0</v>
      </c>
    </row>
    <row r="39" spans="1:14" s="190" customFormat="1" ht="14.25" customHeight="1">
      <c r="A39" s="221" t="s">
        <v>213</v>
      </c>
      <c r="B39" s="229" t="s">
        <v>63</v>
      </c>
      <c r="C39" s="225" t="s">
        <v>261</v>
      </c>
      <c r="D39" s="309">
        <v>0</v>
      </c>
      <c r="E39" s="309">
        <v>0</v>
      </c>
      <c r="F39" s="309">
        <v>0</v>
      </c>
      <c r="G39" s="309">
        <v>0</v>
      </c>
      <c r="H39" s="309">
        <v>0</v>
      </c>
      <c r="I39" s="309">
        <v>0</v>
      </c>
      <c r="J39" s="309">
        <v>0</v>
      </c>
      <c r="K39" s="309">
        <v>0</v>
      </c>
      <c r="L39" s="309">
        <v>0</v>
      </c>
      <c r="M39" s="309">
        <v>0</v>
      </c>
      <c r="N39" s="310">
        <f t="shared" si="1"/>
        <v>0</v>
      </c>
    </row>
    <row r="40" spans="1:14" s="190" customFormat="1" ht="14.25" customHeight="1">
      <c r="A40" s="221" t="s">
        <v>215</v>
      </c>
      <c r="B40" s="229" t="s">
        <v>262</v>
      </c>
      <c r="C40" s="225" t="s">
        <v>263</v>
      </c>
      <c r="D40" s="309">
        <v>0</v>
      </c>
      <c r="E40" s="309">
        <v>0</v>
      </c>
      <c r="F40" s="309">
        <v>0</v>
      </c>
      <c r="G40" s="309">
        <v>0</v>
      </c>
      <c r="H40" s="309">
        <v>0</v>
      </c>
      <c r="I40" s="309">
        <v>0</v>
      </c>
      <c r="J40" s="309">
        <v>0</v>
      </c>
      <c r="K40" s="309">
        <v>0</v>
      </c>
      <c r="L40" s="309">
        <v>0</v>
      </c>
      <c r="M40" s="309">
        <v>0</v>
      </c>
      <c r="N40" s="310">
        <f t="shared" si="1"/>
        <v>0</v>
      </c>
    </row>
    <row r="41" spans="1:14" s="190" customFormat="1" ht="14.25" customHeight="1">
      <c r="A41" s="221" t="s">
        <v>216</v>
      </c>
      <c r="B41" s="229" t="s">
        <v>264</v>
      </c>
      <c r="C41" s="225" t="s">
        <v>265</v>
      </c>
      <c r="D41" s="309">
        <v>0</v>
      </c>
      <c r="E41" s="309">
        <v>3870.29</v>
      </c>
      <c r="F41" s="309">
        <v>748.41</v>
      </c>
      <c r="G41" s="309">
        <v>1533</v>
      </c>
      <c r="H41" s="309">
        <v>0</v>
      </c>
      <c r="I41" s="309">
        <v>0</v>
      </c>
      <c r="J41" s="309">
        <v>0</v>
      </c>
      <c r="K41" s="309">
        <v>0</v>
      </c>
      <c r="L41" s="309">
        <v>10546.93</v>
      </c>
      <c r="M41" s="309">
        <v>0</v>
      </c>
      <c r="N41" s="310">
        <f t="shared" si="1"/>
        <v>16698.63</v>
      </c>
    </row>
    <row r="42" spans="1:14" s="190" customFormat="1" ht="15.75">
      <c r="A42" s="230" t="s">
        <v>266</v>
      </c>
      <c r="B42" s="231" t="s">
        <v>415</v>
      </c>
      <c r="C42" s="232"/>
      <c r="D42" s="305">
        <f>SUM(D43:D45)</f>
        <v>0</v>
      </c>
      <c r="E42" s="305">
        <f aca="true" t="shared" si="4" ref="E42:M42">SUM(E43:E45)</f>
        <v>0</v>
      </c>
      <c r="F42" s="305">
        <f>SUM(F43:F45)</f>
        <v>0</v>
      </c>
      <c r="G42" s="305">
        <f t="shared" si="4"/>
        <v>0</v>
      </c>
      <c r="H42" s="305">
        <f t="shared" si="4"/>
        <v>0</v>
      </c>
      <c r="I42" s="305">
        <f>SUM(I43:I45)</f>
        <v>0</v>
      </c>
      <c r="J42" s="305">
        <f t="shared" si="4"/>
        <v>0</v>
      </c>
      <c r="K42" s="305">
        <f t="shared" si="4"/>
        <v>0</v>
      </c>
      <c r="L42" s="305">
        <f t="shared" si="4"/>
        <v>0</v>
      </c>
      <c r="M42" s="305">
        <f t="shared" si="4"/>
        <v>0</v>
      </c>
      <c r="N42" s="306">
        <f t="shared" si="1"/>
        <v>0</v>
      </c>
    </row>
    <row r="43" spans="1:14" s="190" customFormat="1" ht="14.25" customHeight="1">
      <c r="A43" s="221" t="s">
        <v>211</v>
      </c>
      <c r="B43" s="229" t="s">
        <v>267</v>
      </c>
      <c r="C43" s="225" t="s">
        <v>268</v>
      </c>
      <c r="D43" s="309">
        <v>0</v>
      </c>
      <c r="E43" s="309">
        <v>0</v>
      </c>
      <c r="F43" s="309">
        <v>0</v>
      </c>
      <c r="G43" s="309">
        <v>0</v>
      </c>
      <c r="H43" s="309">
        <v>0</v>
      </c>
      <c r="I43" s="309">
        <v>0</v>
      </c>
      <c r="J43" s="309">
        <v>0</v>
      </c>
      <c r="K43" s="309">
        <v>0</v>
      </c>
      <c r="L43" s="309">
        <v>0</v>
      </c>
      <c r="M43" s="309">
        <v>0</v>
      </c>
      <c r="N43" s="310">
        <f t="shared" si="1"/>
        <v>0</v>
      </c>
    </row>
    <row r="44" spans="1:14" s="190" customFormat="1" ht="14.25" customHeight="1">
      <c r="A44" s="311" t="s">
        <v>212</v>
      </c>
      <c r="B44" s="315" t="s">
        <v>269</v>
      </c>
      <c r="C44" s="225" t="s">
        <v>270</v>
      </c>
      <c r="D44" s="309">
        <v>0</v>
      </c>
      <c r="E44" s="309">
        <v>0</v>
      </c>
      <c r="F44" s="309">
        <v>0</v>
      </c>
      <c r="G44" s="309">
        <v>0</v>
      </c>
      <c r="H44" s="309">
        <v>0</v>
      </c>
      <c r="I44" s="309">
        <v>0</v>
      </c>
      <c r="J44" s="309">
        <v>0</v>
      </c>
      <c r="K44" s="309">
        <v>0</v>
      </c>
      <c r="L44" s="309">
        <v>0</v>
      </c>
      <c r="M44" s="309">
        <v>0</v>
      </c>
      <c r="N44" s="310">
        <f t="shared" si="1"/>
        <v>0</v>
      </c>
    </row>
    <row r="45" spans="1:14" s="190" customFormat="1" ht="14.25" customHeight="1" thickBot="1">
      <c r="A45" s="233"/>
      <c r="B45" s="234"/>
      <c r="C45" s="235"/>
      <c r="D45" s="316">
        <v>0</v>
      </c>
      <c r="E45" s="316">
        <v>0</v>
      </c>
      <c r="F45" s="316">
        <v>0</v>
      </c>
      <c r="G45" s="316">
        <v>0</v>
      </c>
      <c r="H45" s="316">
        <v>0</v>
      </c>
      <c r="I45" s="316">
        <v>0</v>
      </c>
      <c r="J45" s="316">
        <v>0</v>
      </c>
      <c r="K45" s="316">
        <v>0</v>
      </c>
      <c r="L45" s="316">
        <v>0</v>
      </c>
      <c r="M45" s="316">
        <v>0</v>
      </c>
      <c r="N45" s="317">
        <f t="shared" si="1"/>
        <v>0</v>
      </c>
    </row>
    <row r="46" spans="1:14" s="190" customFormat="1" ht="12.75" customHeight="1">
      <c r="A46" s="236" t="s">
        <v>271</v>
      </c>
      <c r="B46" s="237" t="s">
        <v>416</v>
      </c>
      <c r="C46" s="216"/>
      <c r="D46" s="318">
        <f>SUM(D47,D70,D75)</f>
        <v>29428.5</v>
      </c>
      <c r="E46" s="318">
        <f aca="true" t="shared" si="5" ref="E46:M46">SUM(E47,E70,E75)</f>
        <v>1921824.6400000001</v>
      </c>
      <c r="F46" s="318">
        <f>SUM(F47,F70,F75)</f>
        <v>756876</v>
      </c>
      <c r="G46" s="318">
        <f t="shared" si="5"/>
        <v>1385562.9999999998</v>
      </c>
      <c r="H46" s="318">
        <f t="shared" si="5"/>
        <v>1895653.7</v>
      </c>
      <c r="I46" s="318">
        <f>SUM(I47,I70,I75)</f>
        <v>1434451.63</v>
      </c>
      <c r="J46" s="318">
        <f t="shared" si="5"/>
        <v>1563228.4000000001</v>
      </c>
      <c r="K46" s="318">
        <f t="shared" si="5"/>
        <v>174633.33</v>
      </c>
      <c r="L46" s="318">
        <f t="shared" si="5"/>
        <v>3098742.69</v>
      </c>
      <c r="M46" s="318">
        <f t="shared" si="5"/>
        <v>1398947.3299999998</v>
      </c>
      <c r="N46" s="320">
        <f t="shared" si="1"/>
        <v>13659349.219999999</v>
      </c>
    </row>
    <row r="47" spans="1:14" s="190" customFormat="1" ht="12.75" customHeight="1">
      <c r="A47" s="227" t="s">
        <v>209</v>
      </c>
      <c r="B47" s="228" t="s">
        <v>272</v>
      </c>
      <c r="C47" s="220"/>
      <c r="D47" s="321">
        <f>SUM(D48:D69)</f>
        <v>29428.5</v>
      </c>
      <c r="E47" s="321">
        <f aca="true" t="shared" si="6" ref="E47:M47">SUM(E48:E69)</f>
        <v>1921591.1300000001</v>
      </c>
      <c r="F47" s="321">
        <f>SUM(F48:F69)</f>
        <v>756876</v>
      </c>
      <c r="G47" s="321">
        <f t="shared" si="6"/>
        <v>1383526.3099999998</v>
      </c>
      <c r="H47" s="321">
        <f t="shared" si="6"/>
        <v>1895653.7</v>
      </c>
      <c r="I47" s="321">
        <f>SUM(I48:I69)</f>
        <v>1434451.63</v>
      </c>
      <c r="J47" s="321">
        <f t="shared" si="6"/>
        <v>1563113.8800000001</v>
      </c>
      <c r="K47" s="321">
        <f t="shared" si="6"/>
        <v>174633.33</v>
      </c>
      <c r="L47" s="321">
        <f t="shared" si="6"/>
        <v>3098742.69</v>
      </c>
      <c r="M47" s="321">
        <f t="shared" si="6"/>
        <v>1398929.4</v>
      </c>
      <c r="N47" s="323">
        <f t="shared" si="1"/>
        <v>13656946.57</v>
      </c>
    </row>
    <row r="48" spans="1:14" s="190" customFormat="1" ht="12.75" customHeight="1">
      <c r="A48" s="238" t="s">
        <v>211</v>
      </c>
      <c r="B48" s="239" t="s">
        <v>273</v>
      </c>
      <c r="C48" s="225" t="s">
        <v>74</v>
      </c>
      <c r="D48" s="344">
        <v>0</v>
      </c>
      <c r="E48" s="344">
        <v>0</v>
      </c>
      <c r="F48" s="344">
        <v>0</v>
      </c>
      <c r="G48" s="344">
        <v>636704.55</v>
      </c>
      <c r="H48" s="344">
        <v>0</v>
      </c>
      <c r="I48" s="344">
        <v>1234445.73</v>
      </c>
      <c r="J48" s="344">
        <v>0</v>
      </c>
      <c r="K48" s="344">
        <v>0</v>
      </c>
      <c r="L48" s="344">
        <v>0</v>
      </c>
      <c r="M48" s="344">
        <v>0</v>
      </c>
      <c r="N48" s="326">
        <f t="shared" si="1"/>
        <v>1871150.28</v>
      </c>
    </row>
    <row r="49" spans="1:14" s="190" customFormat="1" ht="12.75" customHeight="1">
      <c r="A49" s="238" t="s">
        <v>212</v>
      </c>
      <c r="B49" s="240" t="s">
        <v>274</v>
      </c>
      <c r="C49" s="225" t="s">
        <v>75</v>
      </c>
      <c r="D49" s="324">
        <v>10000</v>
      </c>
      <c r="E49" s="324">
        <v>1059464.57</v>
      </c>
      <c r="F49" s="324">
        <v>756876</v>
      </c>
      <c r="G49" s="324">
        <v>776345.33</v>
      </c>
      <c r="H49" s="324">
        <v>1895653.7</v>
      </c>
      <c r="I49" s="324">
        <v>200005.9</v>
      </c>
      <c r="J49" s="324">
        <v>1480498.77</v>
      </c>
      <c r="K49" s="324">
        <v>0</v>
      </c>
      <c r="L49" s="324">
        <v>3043671.89</v>
      </c>
      <c r="M49" s="324">
        <v>1056293.21</v>
      </c>
      <c r="N49" s="327">
        <f t="shared" si="1"/>
        <v>10278809.370000001</v>
      </c>
    </row>
    <row r="50" spans="1:14" s="190" customFormat="1" ht="12.75" customHeight="1">
      <c r="A50" s="238" t="s">
        <v>213</v>
      </c>
      <c r="B50" s="240" t="s">
        <v>275</v>
      </c>
      <c r="C50" s="225" t="s">
        <v>276</v>
      </c>
      <c r="D50" s="324">
        <v>0</v>
      </c>
      <c r="E50" s="324">
        <v>0</v>
      </c>
      <c r="F50" s="324">
        <v>0</v>
      </c>
      <c r="G50" s="324">
        <v>0</v>
      </c>
      <c r="H50" s="324">
        <v>0</v>
      </c>
      <c r="I50" s="324">
        <v>0</v>
      </c>
      <c r="J50" s="324">
        <v>0</v>
      </c>
      <c r="K50" s="324">
        <v>0</v>
      </c>
      <c r="L50" s="324">
        <v>0</v>
      </c>
      <c r="M50" s="324">
        <v>64006.5</v>
      </c>
      <c r="N50" s="327">
        <f t="shared" si="1"/>
        <v>64006.5</v>
      </c>
    </row>
    <row r="51" spans="1:14" s="190" customFormat="1" ht="12.75" customHeight="1">
      <c r="A51" s="238" t="s">
        <v>215</v>
      </c>
      <c r="B51" s="240" t="s">
        <v>277</v>
      </c>
      <c r="C51" s="225" t="s">
        <v>76</v>
      </c>
      <c r="D51" s="324">
        <v>19428.5</v>
      </c>
      <c r="E51" s="324">
        <v>787533.15</v>
      </c>
      <c r="F51" s="324">
        <v>0</v>
      </c>
      <c r="G51" s="324">
        <v>0</v>
      </c>
      <c r="H51" s="324">
        <v>0</v>
      </c>
      <c r="I51" s="324">
        <v>0</v>
      </c>
      <c r="J51" s="324">
        <v>80617.5</v>
      </c>
      <c r="K51" s="324">
        <v>0</v>
      </c>
      <c r="L51" s="324">
        <v>0</v>
      </c>
      <c r="M51" s="324">
        <v>278618.54</v>
      </c>
      <c r="N51" s="327">
        <f t="shared" si="1"/>
        <v>1166197.69</v>
      </c>
    </row>
    <row r="52" spans="1:14" s="190" customFormat="1" ht="12.75" customHeight="1">
      <c r="A52" s="238" t="s">
        <v>219</v>
      </c>
      <c r="B52" s="240" t="s">
        <v>278</v>
      </c>
      <c r="C52" s="225" t="s">
        <v>279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7">
        <f t="shared" si="1"/>
        <v>0</v>
      </c>
    </row>
    <row r="53" spans="1:14" s="190" customFormat="1" ht="12.75" customHeight="1">
      <c r="A53" s="238" t="s">
        <v>220</v>
      </c>
      <c r="B53" s="240" t="s">
        <v>280</v>
      </c>
      <c r="C53" s="225" t="s">
        <v>77</v>
      </c>
      <c r="D53" s="324">
        <v>0</v>
      </c>
      <c r="E53" s="324">
        <v>0</v>
      </c>
      <c r="F53" s="324">
        <v>0</v>
      </c>
      <c r="G53" s="324">
        <v>0</v>
      </c>
      <c r="H53" s="324">
        <v>0</v>
      </c>
      <c r="I53" s="324">
        <v>0</v>
      </c>
      <c r="J53" s="324">
        <v>0</v>
      </c>
      <c r="K53" s="324">
        <v>0</v>
      </c>
      <c r="L53" s="324">
        <v>0</v>
      </c>
      <c r="M53" s="324">
        <v>0</v>
      </c>
      <c r="N53" s="327">
        <f t="shared" si="1"/>
        <v>0</v>
      </c>
    </row>
    <row r="54" spans="1:14" s="190" customFormat="1" ht="12.75" customHeight="1">
      <c r="A54" s="238" t="s">
        <v>281</v>
      </c>
      <c r="B54" s="240" t="s">
        <v>282</v>
      </c>
      <c r="C54" s="225" t="s">
        <v>78</v>
      </c>
      <c r="D54" s="324">
        <v>0</v>
      </c>
      <c r="E54" s="324">
        <v>0</v>
      </c>
      <c r="F54" s="324">
        <v>0</v>
      </c>
      <c r="G54" s="324">
        <v>0</v>
      </c>
      <c r="H54" s="324">
        <v>0</v>
      </c>
      <c r="I54" s="324">
        <v>0</v>
      </c>
      <c r="J54" s="324">
        <v>0</v>
      </c>
      <c r="K54" s="324">
        <v>0</v>
      </c>
      <c r="L54" s="324">
        <v>0</v>
      </c>
      <c r="M54" s="324">
        <v>0</v>
      </c>
      <c r="N54" s="327">
        <f t="shared" si="1"/>
        <v>0</v>
      </c>
    </row>
    <row r="55" spans="1:14" s="190" customFormat="1" ht="12.75" customHeight="1">
      <c r="A55" s="238" t="s">
        <v>221</v>
      </c>
      <c r="B55" s="240" t="s">
        <v>283</v>
      </c>
      <c r="C55" s="225" t="s">
        <v>79</v>
      </c>
      <c r="D55" s="324">
        <v>0</v>
      </c>
      <c r="E55" s="324">
        <v>0</v>
      </c>
      <c r="F55" s="324">
        <v>0</v>
      </c>
      <c r="G55" s="324">
        <v>-36591.34</v>
      </c>
      <c r="H55" s="324">
        <v>0</v>
      </c>
      <c r="I55" s="324">
        <v>0</v>
      </c>
      <c r="J55" s="324">
        <v>0</v>
      </c>
      <c r="K55" s="324">
        <v>0</v>
      </c>
      <c r="L55" s="324">
        <v>0</v>
      </c>
      <c r="M55" s="324">
        <v>0</v>
      </c>
      <c r="N55" s="327">
        <f t="shared" si="1"/>
        <v>-36591.34</v>
      </c>
    </row>
    <row r="56" spans="1:14" s="190" customFormat="1" ht="12.75" customHeight="1">
      <c r="A56" s="238" t="s">
        <v>222</v>
      </c>
      <c r="B56" s="240" t="s">
        <v>284</v>
      </c>
      <c r="C56" s="225" t="s">
        <v>80</v>
      </c>
      <c r="D56" s="324">
        <v>0</v>
      </c>
      <c r="E56" s="324">
        <v>0</v>
      </c>
      <c r="F56" s="324">
        <v>0</v>
      </c>
      <c r="G56" s="324">
        <v>0</v>
      </c>
      <c r="H56" s="324">
        <v>0</v>
      </c>
      <c r="I56" s="324">
        <v>0</v>
      </c>
      <c r="J56" s="324">
        <v>0</v>
      </c>
      <c r="K56" s="324">
        <v>0</v>
      </c>
      <c r="L56" s="324">
        <v>0</v>
      </c>
      <c r="M56" s="324">
        <v>0</v>
      </c>
      <c r="N56" s="327">
        <f t="shared" si="1"/>
        <v>0</v>
      </c>
    </row>
    <row r="57" spans="1:14" s="190" customFormat="1" ht="12.75" customHeight="1">
      <c r="A57" s="238" t="s">
        <v>224</v>
      </c>
      <c r="B57" s="240" t="s">
        <v>82</v>
      </c>
      <c r="C57" s="225" t="s">
        <v>81</v>
      </c>
      <c r="D57" s="324">
        <v>0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>
        <v>0</v>
      </c>
      <c r="M57" s="324">
        <v>0</v>
      </c>
      <c r="N57" s="327">
        <f t="shared" si="1"/>
        <v>0</v>
      </c>
    </row>
    <row r="58" spans="1:14" s="190" customFormat="1" ht="12.75" customHeight="1">
      <c r="A58" s="238" t="s">
        <v>225</v>
      </c>
      <c r="B58" s="240" t="s">
        <v>84</v>
      </c>
      <c r="C58" s="225" t="s">
        <v>83</v>
      </c>
      <c r="D58" s="324">
        <v>0</v>
      </c>
      <c r="E58" s="324">
        <v>0</v>
      </c>
      <c r="F58" s="324">
        <v>0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4">
        <v>0</v>
      </c>
      <c r="M58" s="324">
        <v>0</v>
      </c>
      <c r="N58" s="327">
        <f t="shared" si="1"/>
        <v>0</v>
      </c>
    </row>
    <row r="59" spans="1:14" s="190" customFormat="1" ht="12.75" customHeight="1">
      <c r="A59" s="238" t="s">
        <v>227</v>
      </c>
      <c r="B59" s="240" t="s">
        <v>86</v>
      </c>
      <c r="C59" s="225" t="s">
        <v>85</v>
      </c>
      <c r="D59" s="324">
        <v>0</v>
      </c>
      <c r="E59" s="324">
        <v>0</v>
      </c>
      <c r="F59" s="324">
        <v>0</v>
      </c>
      <c r="G59" s="324">
        <v>0</v>
      </c>
      <c r="H59" s="324">
        <v>0</v>
      </c>
      <c r="I59" s="324">
        <v>0</v>
      </c>
      <c r="J59" s="324">
        <v>0</v>
      </c>
      <c r="K59" s="324">
        <v>0</v>
      </c>
      <c r="L59" s="324">
        <v>0</v>
      </c>
      <c r="M59" s="324">
        <v>0</v>
      </c>
      <c r="N59" s="327">
        <f t="shared" si="1"/>
        <v>0</v>
      </c>
    </row>
    <row r="60" spans="1:14" s="190" customFormat="1" ht="12.75" customHeight="1">
      <c r="A60" s="238" t="s">
        <v>228</v>
      </c>
      <c r="B60" s="240" t="s">
        <v>88</v>
      </c>
      <c r="C60" s="225" t="s">
        <v>87</v>
      </c>
      <c r="D60" s="324">
        <v>0</v>
      </c>
      <c r="E60" s="324">
        <v>0</v>
      </c>
      <c r="F60" s="324">
        <v>0</v>
      </c>
      <c r="G60" s="324">
        <v>0</v>
      </c>
      <c r="H60" s="324">
        <v>0</v>
      </c>
      <c r="I60" s="324">
        <v>0</v>
      </c>
      <c r="J60" s="324">
        <v>0</v>
      </c>
      <c r="K60" s="324">
        <v>0</v>
      </c>
      <c r="L60" s="324">
        <v>0</v>
      </c>
      <c r="M60" s="324">
        <v>0</v>
      </c>
      <c r="N60" s="327">
        <f t="shared" si="1"/>
        <v>0</v>
      </c>
    </row>
    <row r="61" spans="1:14" s="190" customFormat="1" ht="12.75" customHeight="1">
      <c r="A61" s="238" t="s">
        <v>229</v>
      </c>
      <c r="B61" s="240" t="s">
        <v>58</v>
      </c>
      <c r="C61" s="225" t="s">
        <v>89</v>
      </c>
      <c r="D61" s="324">
        <v>0</v>
      </c>
      <c r="E61" s="324">
        <v>0</v>
      </c>
      <c r="F61" s="324">
        <v>0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4">
        <v>0</v>
      </c>
      <c r="M61" s="324">
        <v>0</v>
      </c>
      <c r="N61" s="327">
        <f t="shared" si="1"/>
        <v>0</v>
      </c>
    </row>
    <row r="62" spans="1:14" s="190" customFormat="1" ht="12.75" customHeight="1">
      <c r="A62" s="238" t="s">
        <v>285</v>
      </c>
      <c r="B62" s="240" t="s">
        <v>233</v>
      </c>
      <c r="C62" s="225" t="s">
        <v>90</v>
      </c>
      <c r="D62" s="324">
        <v>0</v>
      </c>
      <c r="E62" s="324">
        <v>0</v>
      </c>
      <c r="F62" s="324">
        <v>0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4">
        <v>0</v>
      </c>
      <c r="M62" s="324">
        <v>0</v>
      </c>
      <c r="N62" s="327">
        <f t="shared" si="1"/>
        <v>0</v>
      </c>
    </row>
    <row r="63" spans="1:14" s="190" customFormat="1" ht="12.75" customHeight="1">
      <c r="A63" s="238" t="s">
        <v>231</v>
      </c>
      <c r="B63" s="240" t="s">
        <v>286</v>
      </c>
      <c r="C63" s="225" t="s">
        <v>91</v>
      </c>
      <c r="D63" s="324">
        <v>0</v>
      </c>
      <c r="E63" s="324">
        <v>0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7">
        <f t="shared" si="1"/>
        <v>0</v>
      </c>
    </row>
    <row r="64" spans="1:14" s="190" customFormat="1" ht="12.75" customHeight="1">
      <c r="A64" s="238" t="s">
        <v>232</v>
      </c>
      <c r="B64" s="240" t="s">
        <v>287</v>
      </c>
      <c r="C64" s="225" t="s">
        <v>92</v>
      </c>
      <c r="D64" s="324">
        <v>0</v>
      </c>
      <c r="E64" s="324">
        <v>0</v>
      </c>
      <c r="F64" s="324">
        <v>0</v>
      </c>
      <c r="G64" s="324">
        <v>0</v>
      </c>
      <c r="H64" s="324">
        <v>0</v>
      </c>
      <c r="I64" s="324">
        <v>0</v>
      </c>
      <c r="J64" s="324">
        <v>0</v>
      </c>
      <c r="K64" s="324">
        <v>0</v>
      </c>
      <c r="L64" s="324">
        <v>0</v>
      </c>
      <c r="M64" s="324">
        <v>0</v>
      </c>
      <c r="N64" s="327">
        <f t="shared" si="1"/>
        <v>0</v>
      </c>
    </row>
    <row r="65" spans="1:14" s="190" customFormat="1" ht="12.75" customHeight="1">
      <c r="A65" s="238" t="s">
        <v>234</v>
      </c>
      <c r="B65" s="328" t="s">
        <v>288</v>
      </c>
      <c r="C65" s="225" t="s">
        <v>93</v>
      </c>
      <c r="D65" s="324">
        <v>0</v>
      </c>
      <c r="E65" s="324">
        <v>0</v>
      </c>
      <c r="F65" s="324">
        <v>0</v>
      </c>
      <c r="G65" s="324">
        <v>0</v>
      </c>
      <c r="H65" s="324">
        <v>0</v>
      </c>
      <c r="I65" s="324">
        <v>0</v>
      </c>
      <c r="J65" s="324">
        <v>0</v>
      </c>
      <c r="K65" s="324">
        <v>0</v>
      </c>
      <c r="L65" s="324">
        <v>0</v>
      </c>
      <c r="M65" s="324">
        <v>0</v>
      </c>
      <c r="N65" s="327">
        <f t="shared" si="1"/>
        <v>0</v>
      </c>
    </row>
    <row r="66" spans="1:14" s="190" customFormat="1" ht="12.75" customHeight="1">
      <c r="A66" s="329" t="s">
        <v>235</v>
      </c>
      <c r="B66" s="328" t="s">
        <v>289</v>
      </c>
      <c r="C66" s="241" t="s">
        <v>290</v>
      </c>
      <c r="D66" s="324">
        <v>0</v>
      </c>
      <c r="E66" s="324">
        <v>3320</v>
      </c>
      <c r="F66" s="324">
        <v>0</v>
      </c>
      <c r="G66" s="324">
        <v>0</v>
      </c>
      <c r="H66" s="324">
        <v>0</v>
      </c>
      <c r="I66" s="324">
        <v>0</v>
      </c>
      <c r="J66" s="324">
        <v>0</v>
      </c>
      <c r="K66" s="324">
        <v>0</v>
      </c>
      <c r="L66" s="324">
        <v>0</v>
      </c>
      <c r="M66" s="324">
        <v>0</v>
      </c>
      <c r="N66" s="327">
        <f t="shared" si="1"/>
        <v>3320</v>
      </c>
    </row>
    <row r="67" spans="1:14" s="190" customFormat="1" ht="12.75" customHeight="1">
      <c r="A67" s="238" t="s">
        <v>236</v>
      </c>
      <c r="B67" s="240" t="s">
        <v>291</v>
      </c>
      <c r="C67" s="242" t="s">
        <v>292</v>
      </c>
      <c r="D67" s="324">
        <v>0</v>
      </c>
      <c r="E67" s="324">
        <v>0</v>
      </c>
      <c r="F67" s="324">
        <v>0</v>
      </c>
      <c r="G67" s="324">
        <v>0</v>
      </c>
      <c r="H67" s="324">
        <v>0</v>
      </c>
      <c r="I67" s="324">
        <v>0</v>
      </c>
      <c r="J67" s="324">
        <v>0</v>
      </c>
      <c r="K67" s="324">
        <v>0</v>
      </c>
      <c r="L67" s="324">
        <v>0</v>
      </c>
      <c r="M67" s="324">
        <v>0</v>
      </c>
      <c r="N67" s="327">
        <f t="shared" si="1"/>
        <v>0</v>
      </c>
    </row>
    <row r="68" spans="1:14" s="190" customFormat="1" ht="12.75" customHeight="1">
      <c r="A68" s="238" t="s">
        <v>238</v>
      </c>
      <c r="B68" s="240" t="s">
        <v>293</v>
      </c>
      <c r="C68" s="243" t="s">
        <v>294</v>
      </c>
      <c r="D68" s="324">
        <v>0</v>
      </c>
      <c r="E68" s="324">
        <v>0</v>
      </c>
      <c r="F68" s="324">
        <v>0</v>
      </c>
      <c r="G68" s="324">
        <v>0</v>
      </c>
      <c r="H68" s="324">
        <v>0</v>
      </c>
      <c r="I68" s="324">
        <v>0</v>
      </c>
      <c r="J68" s="324">
        <v>0</v>
      </c>
      <c r="K68" s="324">
        <v>0</v>
      </c>
      <c r="L68" s="324">
        <v>0</v>
      </c>
      <c r="M68" s="324">
        <v>0</v>
      </c>
      <c r="N68" s="327">
        <f t="shared" si="1"/>
        <v>0</v>
      </c>
    </row>
    <row r="69" spans="1:14" s="190" customFormat="1" ht="12.75" customHeight="1">
      <c r="A69" s="238" t="s">
        <v>240</v>
      </c>
      <c r="B69" s="244" t="s">
        <v>295</v>
      </c>
      <c r="C69" s="245" t="s">
        <v>95</v>
      </c>
      <c r="D69" s="324">
        <v>0</v>
      </c>
      <c r="E69" s="324">
        <v>71273.41</v>
      </c>
      <c r="F69" s="324">
        <v>0</v>
      </c>
      <c r="G69" s="324">
        <v>7067.77</v>
      </c>
      <c r="H69" s="324">
        <v>0</v>
      </c>
      <c r="I69" s="324">
        <v>0</v>
      </c>
      <c r="J69" s="324">
        <v>1997.61</v>
      </c>
      <c r="K69" s="324">
        <v>174633.33</v>
      </c>
      <c r="L69" s="324">
        <v>55070.8</v>
      </c>
      <c r="M69" s="324">
        <v>11.15</v>
      </c>
      <c r="N69" s="327">
        <f aca="true" t="shared" si="7" ref="N69:N82">SUM(D69:M69)</f>
        <v>310054.07</v>
      </c>
    </row>
    <row r="70" spans="1:14" s="190" customFormat="1" ht="12.75" customHeight="1">
      <c r="A70" s="227" t="s">
        <v>258</v>
      </c>
      <c r="B70" s="228" t="s">
        <v>296</v>
      </c>
      <c r="C70" s="220"/>
      <c r="D70" s="321">
        <f>SUM(D71:D74)</f>
        <v>0</v>
      </c>
      <c r="E70" s="321">
        <f aca="true" t="shared" si="8" ref="E70:M70">SUM(E71:E74)</f>
        <v>233.51</v>
      </c>
      <c r="F70" s="321">
        <f>SUM(F71:F74)</f>
        <v>0</v>
      </c>
      <c r="G70" s="321">
        <f t="shared" si="8"/>
        <v>2036.69</v>
      </c>
      <c r="H70" s="321">
        <f t="shared" si="8"/>
        <v>0</v>
      </c>
      <c r="I70" s="321">
        <f>SUM(I71:I74)</f>
        <v>0</v>
      </c>
      <c r="J70" s="321">
        <f t="shared" si="8"/>
        <v>114.52</v>
      </c>
      <c r="K70" s="321">
        <f t="shared" si="8"/>
        <v>0</v>
      </c>
      <c r="L70" s="321">
        <f t="shared" si="8"/>
        <v>0</v>
      </c>
      <c r="M70" s="321">
        <f t="shared" si="8"/>
        <v>17.93</v>
      </c>
      <c r="N70" s="323">
        <f t="shared" si="7"/>
        <v>2402.6499999999996</v>
      </c>
    </row>
    <row r="71" spans="1:14" s="190" customFormat="1" ht="12.75" customHeight="1">
      <c r="A71" s="238" t="s">
        <v>212</v>
      </c>
      <c r="B71" s="246" t="s">
        <v>62</v>
      </c>
      <c r="C71" s="225" t="s">
        <v>297</v>
      </c>
      <c r="D71" s="324">
        <v>0</v>
      </c>
      <c r="E71" s="324">
        <v>233.51</v>
      </c>
      <c r="F71" s="324">
        <v>0</v>
      </c>
      <c r="G71" s="324">
        <v>2036.69</v>
      </c>
      <c r="H71" s="324">
        <v>0</v>
      </c>
      <c r="I71" s="324">
        <v>0</v>
      </c>
      <c r="J71" s="324">
        <v>114.52</v>
      </c>
      <c r="K71" s="324">
        <v>0</v>
      </c>
      <c r="L71" s="324">
        <v>0</v>
      </c>
      <c r="M71" s="324">
        <v>17.93</v>
      </c>
      <c r="N71" s="327">
        <f t="shared" si="7"/>
        <v>2402.6499999999996</v>
      </c>
    </row>
    <row r="72" spans="1:14" s="190" customFormat="1" ht="12.75" customHeight="1">
      <c r="A72" s="238" t="s">
        <v>213</v>
      </c>
      <c r="B72" s="246" t="s">
        <v>94</v>
      </c>
      <c r="C72" s="225" t="s">
        <v>298</v>
      </c>
      <c r="D72" s="324">
        <v>0</v>
      </c>
      <c r="E72" s="324">
        <v>0</v>
      </c>
      <c r="F72" s="324">
        <v>0</v>
      </c>
      <c r="G72" s="324">
        <v>0</v>
      </c>
      <c r="H72" s="324">
        <v>0</v>
      </c>
      <c r="I72" s="324">
        <v>0</v>
      </c>
      <c r="J72" s="324">
        <v>0</v>
      </c>
      <c r="K72" s="324">
        <v>0</v>
      </c>
      <c r="L72" s="324">
        <v>0</v>
      </c>
      <c r="M72" s="324">
        <v>0</v>
      </c>
      <c r="N72" s="331">
        <f t="shared" si="7"/>
        <v>0</v>
      </c>
    </row>
    <row r="73" spans="1:14" s="190" customFormat="1" ht="12.75" customHeight="1">
      <c r="A73" s="238" t="s">
        <v>215</v>
      </c>
      <c r="B73" s="246" t="s">
        <v>299</v>
      </c>
      <c r="C73" s="225" t="s">
        <v>300</v>
      </c>
      <c r="D73" s="324">
        <v>0</v>
      </c>
      <c r="E73" s="324">
        <v>0</v>
      </c>
      <c r="F73" s="324">
        <v>0</v>
      </c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4">
        <v>0</v>
      </c>
      <c r="M73" s="324">
        <v>0</v>
      </c>
      <c r="N73" s="331">
        <f t="shared" si="7"/>
        <v>0</v>
      </c>
    </row>
    <row r="74" spans="1:14" s="190" customFormat="1" ht="12.75" customHeight="1">
      <c r="A74" s="238" t="s">
        <v>217</v>
      </c>
      <c r="B74" s="246" t="s">
        <v>301</v>
      </c>
      <c r="C74" s="225" t="s">
        <v>302</v>
      </c>
      <c r="D74" s="324">
        <v>0</v>
      </c>
      <c r="E74" s="324">
        <v>0</v>
      </c>
      <c r="F74" s="324">
        <v>0</v>
      </c>
      <c r="G74" s="324">
        <v>0</v>
      </c>
      <c r="H74" s="324">
        <v>0</v>
      </c>
      <c r="I74" s="324">
        <v>0</v>
      </c>
      <c r="J74" s="324">
        <v>0</v>
      </c>
      <c r="K74" s="324">
        <v>0</v>
      </c>
      <c r="L74" s="324">
        <v>0</v>
      </c>
      <c r="M74" s="324">
        <v>0</v>
      </c>
      <c r="N74" s="331">
        <f t="shared" si="7"/>
        <v>0</v>
      </c>
    </row>
    <row r="75" spans="1:14" s="190" customFormat="1" ht="15.75">
      <c r="A75" s="230" t="s">
        <v>303</v>
      </c>
      <c r="B75" s="231" t="s">
        <v>417</v>
      </c>
      <c r="C75" s="232"/>
      <c r="D75" s="321">
        <f>SUM(D76:D77)</f>
        <v>0</v>
      </c>
      <c r="E75" s="321">
        <f aca="true" t="shared" si="9" ref="E75:M75">SUM(E76:E77)</f>
        <v>0</v>
      </c>
      <c r="F75" s="321">
        <f>SUM(F76:F77)</f>
        <v>0</v>
      </c>
      <c r="G75" s="321">
        <f t="shared" si="9"/>
        <v>0</v>
      </c>
      <c r="H75" s="321">
        <f t="shared" si="9"/>
        <v>0</v>
      </c>
      <c r="I75" s="321">
        <f>SUM(I76:I77)</f>
        <v>0</v>
      </c>
      <c r="J75" s="321">
        <f t="shared" si="9"/>
        <v>0</v>
      </c>
      <c r="K75" s="321">
        <f t="shared" si="9"/>
        <v>0</v>
      </c>
      <c r="L75" s="321">
        <f t="shared" si="9"/>
        <v>0</v>
      </c>
      <c r="M75" s="321">
        <f t="shared" si="9"/>
        <v>0</v>
      </c>
      <c r="N75" s="323">
        <f t="shared" si="7"/>
        <v>0</v>
      </c>
    </row>
    <row r="76" spans="1:14" s="190" customFormat="1" ht="12.75" customHeight="1">
      <c r="A76" s="247" t="s">
        <v>211</v>
      </c>
      <c r="B76" s="248" t="s">
        <v>304</v>
      </c>
      <c r="C76" s="249" t="s">
        <v>305</v>
      </c>
      <c r="D76" s="324">
        <v>0</v>
      </c>
      <c r="E76" s="324">
        <v>0</v>
      </c>
      <c r="F76" s="324">
        <v>0</v>
      </c>
      <c r="G76" s="324">
        <v>0</v>
      </c>
      <c r="H76" s="324">
        <v>0</v>
      </c>
      <c r="I76" s="324">
        <v>0</v>
      </c>
      <c r="J76" s="324">
        <v>0</v>
      </c>
      <c r="K76" s="324">
        <v>0</v>
      </c>
      <c r="L76" s="324">
        <v>0</v>
      </c>
      <c r="M76" s="324">
        <v>0</v>
      </c>
      <c r="N76" s="331">
        <f t="shared" si="7"/>
        <v>0</v>
      </c>
    </row>
    <row r="77" spans="1:14" s="190" customFormat="1" ht="12.75" customHeight="1" thickBot="1">
      <c r="A77" s="332" t="s">
        <v>212</v>
      </c>
      <c r="B77" s="333" t="s">
        <v>306</v>
      </c>
      <c r="C77" s="249" t="s">
        <v>307</v>
      </c>
      <c r="D77" s="324">
        <v>0</v>
      </c>
      <c r="E77" s="324">
        <v>0</v>
      </c>
      <c r="F77" s="324">
        <v>0</v>
      </c>
      <c r="G77" s="324">
        <v>0</v>
      </c>
      <c r="H77" s="324">
        <v>0</v>
      </c>
      <c r="I77" s="324">
        <v>0</v>
      </c>
      <c r="J77" s="324">
        <v>0</v>
      </c>
      <c r="K77" s="324">
        <v>0</v>
      </c>
      <c r="L77" s="324">
        <v>0</v>
      </c>
      <c r="M77" s="324">
        <v>0</v>
      </c>
      <c r="N77" s="331">
        <f t="shared" si="7"/>
        <v>0</v>
      </c>
    </row>
    <row r="78" spans="1:14" s="190" customFormat="1" ht="12.75" customHeight="1">
      <c r="A78" s="250" t="s">
        <v>308</v>
      </c>
      <c r="B78" s="251" t="s">
        <v>309</v>
      </c>
      <c r="C78" s="252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6">
        <f t="shared" si="7"/>
        <v>0</v>
      </c>
    </row>
    <row r="79" spans="1:14" s="190" customFormat="1" ht="12.75" customHeight="1">
      <c r="A79" s="253" t="s">
        <v>211</v>
      </c>
      <c r="B79" s="254" t="s">
        <v>310</v>
      </c>
      <c r="C79" s="255" t="s">
        <v>311</v>
      </c>
      <c r="D79" s="337">
        <f aca="true" t="shared" si="10" ref="D79:M79">D46-D5</f>
        <v>13778.16</v>
      </c>
      <c r="E79" s="337">
        <f t="shared" si="10"/>
        <v>0</v>
      </c>
      <c r="F79" s="337">
        <f t="shared" si="10"/>
        <v>-153807.22999999998</v>
      </c>
      <c r="G79" s="337">
        <f t="shared" si="10"/>
        <v>562333.7199999997</v>
      </c>
      <c r="H79" s="337">
        <f t="shared" si="10"/>
        <v>129864.69999999995</v>
      </c>
      <c r="I79" s="337">
        <f t="shared" si="10"/>
        <v>81146.1499999999</v>
      </c>
      <c r="J79" s="337">
        <f t="shared" si="10"/>
        <v>-302379.31999999983</v>
      </c>
      <c r="K79" s="337">
        <f t="shared" si="10"/>
        <v>174633.33</v>
      </c>
      <c r="L79" s="337">
        <f t="shared" si="10"/>
        <v>50815.70999999996</v>
      </c>
      <c r="M79" s="337">
        <f t="shared" si="10"/>
        <v>254216.7899999998</v>
      </c>
      <c r="N79" s="323">
        <f t="shared" si="7"/>
        <v>810602.0099999995</v>
      </c>
    </row>
    <row r="80" spans="1:14" s="190" customFormat="1" ht="12.75" customHeight="1">
      <c r="A80" s="238" t="s">
        <v>212</v>
      </c>
      <c r="B80" s="248" t="s">
        <v>97</v>
      </c>
      <c r="C80" s="225" t="s">
        <v>96</v>
      </c>
      <c r="D80" s="344">
        <v>0</v>
      </c>
      <c r="E80" s="344">
        <v>0</v>
      </c>
      <c r="F80" s="344">
        <v>0</v>
      </c>
      <c r="G80" s="344">
        <v>0</v>
      </c>
      <c r="H80" s="344">
        <v>0</v>
      </c>
      <c r="I80" s="344">
        <v>5364</v>
      </c>
      <c r="J80" s="344">
        <v>0</v>
      </c>
      <c r="K80" s="344">
        <v>0</v>
      </c>
      <c r="L80" s="344">
        <v>0</v>
      </c>
      <c r="M80" s="344">
        <v>0</v>
      </c>
      <c r="N80" s="339">
        <f t="shared" si="7"/>
        <v>5364</v>
      </c>
    </row>
    <row r="81" spans="1:14" s="190" customFormat="1" ht="12.75" customHeight="1">
      <c r="A81" s="238" t="s">
        <v>213</v>
      </c>
      <c r="B81" s="248" t="s">
        <v>99</v>
      </c>
      <c r="C81" s="225" t="s">
        <v>98</v>
      </c>
      <c r="D81" s="345">
        <v>0</v>
      </c>
      <c r="E81" s="345">
        <v>0</v>
      </c>
      <c r="F81" s="345">
        <v>0</v>
      </c>
      <c r="G81" s="345">
        <v>0</v>
      </c>
      <c r="H81" s="345">
        <v>0</v>
      </c>
      <c r="I81" s="345">
        <v>0</v>
      </c>
      <c r="J81" s="345">
        <v>0</v>
      </c>
      <c r="K81" s="345">
        <v>0</v>
      </c>
      <c r="L81" s="345">
        <v>0</v>
      </c>
      <c r="M81" s="345">
        <v>0</v>
      </c>
      <c r="N81" s="340">
        <f t="shared" si="7"/>
        <v>0</v>
      </c>
    </row>
    <row r="82" spans="1:14" s="190" customFormat="1" ht="12.75" customHeight="1" thickBot="1">
      <c r="A82" s="256" t="s">
        <v>215</v>
      </c>
      <c r="B82" s="257" t="s">
        <v>312</v>
      </c>
      <c r="C82" s="258" t="s">
        <v>311</v>
      </c>
      <c r="D82" s="341">
        <f>D79-SUM(D80,D81)</f>
        <v>13778.16</v>
      </c>
      <c r="E82" s="341">
        <f aca="true" t="shared" si="11" ref="E82:M82">E79-SUM(E80,E81)</f>
        <v>0</v>
      </c>
      <c r="F82" s="341">
        <f>F79-SUM(F80,F81)</f>
        <v>-153807.22999999998</v>
      </c>
      <c r="G82" s="341">
        <f t="shared" si="11"/>
        <v>562333.7199999997</v>
      </c>
      <c r="H82" s="341">
        <f t="shared" si="11"/>
        <v>129864.69999999995</v>
      </c>
      <c r="I82" s="341">
        <f>I79-SUM(I80,I81)</f>
        <v>75782.1499999999</v>
      </c>
      <c r="J82" s="341">
        <f t="shared" si="11"/>
        <v>-302379.31999999983</v>
      </c>
      <c r="K82" s="341">
        <f t="shared" si="11"/>
        <v>174633.33</v>
      </c>
      <c r="L82" s="341">
        <f t="shared" si="11"/>
        <v>50815.70999999996</v>
      </c>
      <c r="M82" s="341">
        <f t="shared" si="11"/>
        <v>254216.7899999998</v>
      </c>
      <c r="N82" s="343">
        <f t="shared" si="7"/>
        <v>805238.0099999995</v>
      </c>
    </row>
  </sheetData>
  <sheetProtection/>
  <printOptions horizontalCentered="1"/>
  <pageMargins left="0" right="0" top="0.5905511811023623" bottom="0" header="0.5118110236220472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avratova</cp:lastModifiedBy>
  <cp:lastPrinted>2012-05-17T08:44:13Z</cp:lastPrinted>
  <dcterms:created xsi:type="dcterms:W3CDTF">2008-02-28T11:41:56Z</dcterms:created>
  <dcterms:modified xsi:type="dcterms:W3CDTF">2012-05-17T09:19:04Z</dcterms:modified>
  <cp:category/>
  <cp:version/>
  <cp:contentType/>
  <cp:contentStatus/>
</cp:coreProperties>
</file>