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07" firstSheet="13" activeTab="13"/>
  </bookViews>
  <sheets>
    <sheet name="T1-UR16" sheetId="1" r:id="rId1"/>
    <sheet name="T2-EU " sheetId="2" r:id="rId2"/>
    <sheet name="T3-UR rozdíl" sheetId="3" r:id="rId3"/>
    <sheet name="T4-MP" sheetId="4" r:id="rId4"/>
    <sheet name="T5-platy16-15" sheetId="5" r:id="rId5"/>
    <sheet name="T6-MPčlen" sheetId="6" r:id="rId6"/>
    <sheet name="T7-člen16-15" sheetId="7" r:id="rId7"/>
    <sheet name="T8-RN-Sk" sheetId="8" r:id="rId8"/>
    <sheet name="T9-ONIV" sheetId="9" r:id="rId9"/>
    <sheet name="T10-vynosy" sheetId="10" r:id="rId10"/>
    <sheet name="T11-HVcelkem" sheetId="11" r:id="rId11"/>
    <sheet name="T12-HV-HC" sheetId="12" r:id="rId12"/>
    <sheet name="T13-HV-JC " sheetId="13" r:id="rId13"/>
    <sheet name="T14-penFondy" sheetId="14" r:id="rId14"/>
    <sheet name="T15-krytíPF" sheetId="15" r:id="rId15"/>
    <sheet name="T16-zapojení 648" sheetId="16" r:id="rId16"/>
    <sheet name="T17-pohledávky" sheetId="17" r:id="rId17"/>
    <sheet name="T18-závazky" sheetId="18" r:id="rId18"/>
    <sheet name="T19-F po prid" sheetId="19" r:id="rId19"/>
    <sheet name="T20-F po prid Or" sheetId="20" r:id="rId20"/>
  </sheets>
  <definedNames>
    <definedName name="_xlnm.Print_Titles" localSheetId="18">'T19-F po prid'!$1:$4</definedName>
    <definedName name="_xlnm.Print_Titles" localSheetId="19">'T20-F po prid Or'!$1:$4</definedName>
    <definedName name="_xlnm.Print_Area" localSheetId="0">'T1-UR16'!$A$1:$P$78</definedName>
    <definedName name="_xlnm.Print_Area" localSheetId="2">'T3-UR rozdíl'!$A$1:$I$103</definedName>
    <definedName name="_xlnm.Print_Area" localSheetId="5">'T6-MPčlen'!$A$1:$P$36</definedName>
  </definedNames>
  <calcPr fullCalcOnLoad="1"/>
</workbook>
</file>

<file path=xl/sharedStrings.xml><?xml version="1.0" encoding="utf-8"?>
<sst xmlns="http://schemas.openxmlformats.org/spreadsheetml/2006/main" count="1674" uniqueCount="640">
  <si>
    <t>(bez FKSP - neprovádí se příděl z HV)</t>
  </si>
  <si>
    <t>Návrh přídělu ze zlepš. HV</t>
  </si>
  <si>
    <t>Fond odměn</t>
  </si>
  <si>
    <t>PC Č.Těšín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</si>
  <si>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</si>
  <si>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</si>
  <si>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</si>
  <si>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</si>
  <si>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</si>
  <si>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</si>
  <si>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</si>
  <si>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</si>
  <si>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</si>
  <si>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</si>
  <si>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</si>
  <si>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FKSP</t>
  </si>
  <si>
    <t>Peněžní fondy za OPŘO celkem</t>
  </si>
  <si>
    <t>Účet</t>
  </si>
  <si>
    <t>DZS</t>
  </si>
  <si>
    <t>501</t>
  </si>
  <si>
    <t>Spotřeba materiálu</t>
  </si>
  <si>
    <t>502</t>
  </si>
  <si>
    <t>Spotřeba energie</t>
  </si>
  <si>
    <t>503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</si>
  <si>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</si>
  <si>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</si>
  <si>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</si>
  <si>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</si>
  <si>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</si>
  <si>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</si>
  <si>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</si>
  <si>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</si>
  <si>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</si>
  <si>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</si>
  <si>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</si>
  <si>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</si>
  <si>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</si>
  <si>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</si>
  <si>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</si>
  <si>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527</t>
  </si>
  <si>
    <t>Zákonné sociální náklady</t>
  </si>
  <si>
    <t>528</t>
  </si>
  <si>
    <t>531</t>
  </si>
  <si>
    <t>Daň silniční</t>
  </si>
  <si>
    <t>532</t>
  </si>
  <si>
    <t>Daň z nemovitostí</t>
  </si>
  <si>
    <t>538</t>
  </si>
  <si>
    <t>541</t>
  </si>
  <si>
    <t>Smluvní pokuty a úroky z prodlení</t>
  </si>
  <si>
    <t>542</t>
  </si>
  <si>
    <t>543</t>
  </si>
  <si>
    <t>544</t>
  </si>
  <si>
    <t>Úroky</t>
  </si>
  <si>
    <t>Kurzové ztráty</t>
  </si>
  <si>
    <t>Dary</t>
  </si>
  <si>
    <t>548</t>
  </si>
  <si>
    <t>Manka a škody</t>
  </si>
  <si>
    <t>549</t>
  </si>
  <si>
    <t>551</t>
  </si>
  <si>
    <t>552</t>
  </si>
  <si>
    <t>553</t>
  </si>
  <si>
    <t>554</t>
  </si>
  <si>
    <t>Prodaný materiál</t>
  </si>
  <si>
    <t>556</t>
  </si>
  <si>
    <t>601</t>
  </si>
  <si>
    <t>602</t>
  </si>
  <si>
    <t>604</t>
  </si>
  <si>
    <t>Aktivace vnitroorganizačních služeb</t>
  </si>
  <si>
    <t>641</t>
  </si>
  <si>
    <t>642</t>
  </si>
  <si>
    <t>643</t>
  </si>
  <si>
    <t>644</t>
  </si>
  <si>
    <t>645</t>
  </si>
  <si>
    <t>Kurzové zisky</t>
  </si>
  <si>
    <t>649</t>
  </si>
  <si>
    <t>591</t>
  </si>
  <si>
    <t>Daň z příjmů</t>
  </si>
  <si>
    <t>595</t>
  </si>
  <si>
    <t>Dodatečné odvody daně z příjmů</t>
  </si>
  <si>
    <t>KJWF</t>
  </si>
  <si>
    <t>ADV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</si>
  <si>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</si>
  <si>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</si>
  <si>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</si>
  <si>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</si>
  <si>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</si>
  <si>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</si>
  <si>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</si>
  <si>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</si>
  <si>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Celkem OPŘO</t>
  </si>
  <si>
    <t>Tabulka č. 10</t>
  </si>
  <si>
    <t>Tabulka č. 9</t>
  </si>
  <si>
    <t>Rozpočet zákonných odvodů</t>
  </si>
  <si>
    <t xml:space="preserve">Skutečnost </t>
  </si>
  <si>
    <t>Procento</t>
  </si>
  <si>
    <t>Rozpočet FKSP</t>
  </si>
  <si>
    <t>Rozpočet OBV</t>
  </si>
  <si>
    <t>Rozpočet ONIV celkem</t>
  </si>
  <si>
    <t>sl. 1</t>
  </si>
  <si>
    <t>sl. 2</t>
  </si>
  <si>
    <t>sl. 3</t>
  </si>
  <si>
    <t>sl.4</t>
  </si>
  <si>
    <t>Rozpočet nákladů celkem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</si>
  <si>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</si>
  <si>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</si>
  <si>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</si>
  <si>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</si>
  <si>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</si>
  <si>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</si>
  <si>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</si>
  <si>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</si>
  <si>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</si>
  <si>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Počet zam.</t>
  </si>
  <si>
    <t>Paragraf</t>
  </si>
  <si>
    <t>Popis</t>
  </si>
  <si>
    <t>CELKEM</t>
  </si>
  <si>
    <t>Tabulka č. 7</t>
  </si>
  <si>
    <t>Tabulka č. 8</t>
  </si>
  <si>
    <t>Tabulka č. 1</t>
  </si>
  <si>
    <t>NTK</t>
  </si>
  <si>
    <t>CZVV</t>
  </si>
  <si>
    <t>Běžný účet FKSP</t>
  </si>
  <si>
    <t>PC ČT</t>
  </si>
  <si>
    <t>Náklady z činnosti</t>
  </si>
  <si>
    <t>Spotřeba jiných neskladovatelných dodávek</t>
  </si>
  <si>
    <t>Jiné sociální pojištění</t>
  </si>
  <si>
    <t>Jiné sociální náklady</t>
  </si>
  <si>
    <t>Jiné daně a poplatky</t>
  </si>
  <si>
    <t>Jiné pokuty a penále</t>
  </si>
  <si>
    <t>547</t>
  </si>
  <si>
    <t>Tvorba fondů</t>
  </si>
  <si>
    <t>Odpisy dlouhodobého majetku</t>
  </si>
  <si>
    <t>Prodané pozemky</t>
  </si>
  <si>
    <t>Tvorba a zúčtování rezerv</t>
  </si>
  <si>
    <t>555</t>
  </si>
  <si>
    <t>Tvorba a zúčtování opravných položek</t>
  </si>
  <si>
    <t>557</t>
  </si>
  <si>
    <t>Ostatní náklady z činnosti</t>
  </si>
  <si>
    <t>Finanční náklady</t>
  </si>
  <si>
    <t>562</t>
  </si>
  <si>
    <t>563</t>
  </si>
  <si>
    <t>Náklady z přecenění reálnou hodnotou</t>
  </si>
  <si>
    <t>564</t>
  </si>
  <si>
    <t>Ostatní finanční náklady</t>
  </si>
  <si>
    <t>569</t>
  </si>
  <si>
    <t>571</t>
  </si>
  <si>
    <t>572</t>
  </si>
  <si>
    <t>B.</t>
  </si>
  <si>
    <t>Výnosy z činnosti</t>
  </si>
  <si>
    <t>Výnosy z prodeje vlastních výrobků</t>
  </si>
  <si>
    <t>Výnosy z prodeje služeb</t>
  </si>
  <si>
    <t>Výnosy z pronájmu</t>
  </si>
  <si>
    <t>603</t>
  </si>
  <si>
    <t>Výnosy z prodaného zboží</t>
  </si>
  <si>
    <t>Jiné výnosy z vlastních výkonů</t>
  </si>
  <si>
    <t>609</t>
  </si>
  <si>
    <t>Výnosy z prodeje materiálu</t>
  </si>
  <si>
    <t>Výnosy z prodeje dlouhodobého nehmotného majetku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</si>
  <si>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</si>
  <si>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</si>
  <si>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</si>
  <si>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</si>
  <si>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</si>
  <si>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</si>
  <si>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</si>
  <si>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Finanční výnosy</t>
  </si>
  <si>
    <t>662</t>
  </si>
  <si>
    <t>663</t>
  </si>
  <si>
    <t>Výnosy z přecenění reálnou hodnotou</t>
  </si>
  <si>
    <t>664</t>
  </si>
  <si>
    <t>Ostatní finanční výnosy</t>
  </si>
  <si>
    <t>669</t>
  </si>
  <si>
    <t>671</t>
  </si>
  <si>
    <t>672</t>
  </si>
  <si>
    <t>VÝSLEDEK HOSPODAŘENÍ</t>
  </si>
  <si>
    <t>Výsledek hospodaření před zdaněním</t>
  </si>
  <si>
    <t>-</t>
  </si>
  <si>
    <t>5331    (5336)                03</t>
  </si>
  <si>
    <t>5331    (5336)                04</t>
  </si>
  <si>
    <t>5331 (5336)</t>
  </si>
  <si>
    <t>SR</t>
  </si>
  <si>
    <t>NA</t>
  </si>
  <si>
    <t>platy</t>
  </si>
  <si>
    <t>OON</t>
  </si>
  <si>
    <t>Odvody celkem</t>
  </si>
  <si>
    <t>OBV</t>
  </si>
  <si>
    <t>KČ + projekty</t>
  </si>
  <si>
    <t>C e l k e m</t>
  </si>
  <si>
    <t>v tom SR</t>
  </si>
  <si>
    <t>Celková rekapitulace</t>
  </si>
  <si>
    <t>Rozpočet (kmenová činnost, rez. projekty a účel. vym.úkoly)</t>
  </si>
  <si>
    <t xml:space="preserve">    v tom:    SR</t>
  </si>
  <si>
    <t xml:space="preserve"> </t>
  </si>
  <si>
    <t>Fond rezervní celkový</t>
  </si>
  <si>
    <t>NÚV</t>
  </si>
  <si>
    <t>NPMKK</t>
  </si>
  <si>
    <t>NIDV</t>
  </si>
  <si>
    <t>NÁKLADY CELKEM</t>
  </si>
  <si>
    <t>Náklady na transfery</t>
  </si>
  <si>
    <t>VÝNOSY CELKEM</t>
  </si>
  <si>
    <t>Výnosy z transferů</t>
  </si>
  <si>
    <t xml:space="preserve">NÚV </t>
  </si>
  <si>
    <t xml:space="preserve">CZVV </t>
  </si>
  <si>
    <t>EU a FM celkem NÚV</t>
  </si>
  <si>
    <t>EU a FM celkem NTK</t>
  </si>
  <si>
    <t>bez prostředků ze zahraničí</t>
  </si>
  <si>
    <t xml:space="preserve">Výnosy </t>
  </si>
  <si>
    <t>(v databázi ISROS)</t>
  </si>
  <si>
    <t>5331       (5336)                   02</t>
  </si>
  <si>
    <t>5331        (5336)                  05</t>
  </si>
  <si>
    <t>5331     (5336)                 01</t>
  </si>
  <si>
    <t>provoz</t>
  </si>
  <si>
    <t>v tom</t>
  </si>
  <si>
    <t xml:space="preserve">  </t>
  </si>
  <si>
    <t>EU celkem NÚV</t>
  </si>
  <si>
    <t>EU celkem NTK</t>
  </si>
  <si>
    <t>EU celkem NIDV</t>
  </si>
  <si>
    <t>EU celkem CZVV</t>
  </si>
  <si>
    <t>Položka výkazu</t>
  </si>
  <si>
    <t>A.</t>
  </si>
  <si>
    <t>A.I.</t>
  </si>
  <si>
    <t>A.I.1.</t>
  </si>
  <si>
    <t>A.I.2.</t>
  </si>
  <si>
    <t>A.I.3.</t>
  </si>
  <si>
    <t>A.I.4.</t>
  </si>
  <si>
    <t>A.I.5.</t>
  </si>
  <si>
    <t>Aktivace dlouhodobého majetku</t>
  </si>
  <si>
    <t>506</t>
  </si>
  <si>
    <t>A.I.6.</t>
  </si>
  <si>
    <t>Aktivace oběžného majetku</t>
  </si>
  <si>
    <t>507</t>
  </si>
  <si>
    <t>A.I.7.</t>
  </si>
  <si>
    <t>Změna stavu zásob vlastní výroby</t>
  </si>
  <si>
    <t>508</t>
  </si>
  <si>
    <t>A.I.8.</t>
  </si>
  <si>
    <t>A.I.9.</t>
  </si>
  <si>
    <t>A.I.10.</t>
  </si>
  <si>
    <t>A.I.11.</t>
  </si>
  <si>
    <t>516</t>
  </si>
  <si>
    <t>A.I.12.</t>
  </si>
  <si>
    <t>A.I.13.</t>
  </si>
  <si>
    <t>A.I.14.</t>
  </si>
  <si>
    <t>A.I.15.</t>
  </si>
  <si>
    <t>A.I.16.</t>
  </si>
  <si>
    <t>A.I.17.</t>
  </si>
  <si>
    <t>A.I.18.</t>
  </si>
  <si>
    <t>A.I.19.</t>
  </si>
  <si>
    <t>A.I.20.</t>
  </si>
  <si>
    <t>A.I.22.</t>
  </si>
  <si>
    <t>A.I.23.</t>
  </si>
  <si>
    <t>A.I.24.</t>
  </si>
  <si>
    <t>A.I.25.</t>
  </si>
  <si>
    <t>A.I.26.</t>
  </si>
  <si>
    <t>A.I.27.</t>
  </si>
  <si>
    <t>A.I.28.</t>
  </si>
  <si>
    <t>A.I.29.</t>
  </si>
  <si>
    <t>Prodaný dlouhodobý nehmotný majetek</t>
  </si>
  <si>
    <t>A.I.30.</t>
  </si>
  <si>
    <t>Prodaný dlouhodobý hmotný majetek</t>
  </si>
  <si>
    <t>A.I.31.</t>
  </si>
  <si>
    <t>A.I.32.</t>
  </si>
  <si>
    <t>A.I.33.</t>
  </si>
  <si>
    <t>A.I.34.</t>
  </si>
  <si>
    <t>Náklady z vyřazených pohledávek</t>
  </si>
  <si>
    <t>A.I.35.</t>
  </si>
  <si>
    <t>Náklady z drobného dlouhodobého majetku</t>
  </si>
  <si>
    <t>558</t>
  </si>
  <si>
    <t>A.I.36.</t>
  </si>
  <si>
    <t>A.II.</t>
  </si>
  <si>
    <t>A.II.1.</t>
  </si>
  <si>
    <t>Prodané cenné papíry a podíly</t>
  </si>
  <si>
    <t>561</t>
  </si>
  <si>
    <t>A.II.2.</t>
  </si>
  <si>
    <t>A.II.3.</t>
  </si>
  <si>
    <t>A.II.4.</t>
  </si>
  <si>
    <t>A.II.5.</t>
  </si>
  <si>
    <t>A.III.</t>
  </si>
  <si>
    <t>A.III.1.</t>
  </si>
  <si>
    <t>Náklady vybraných ústředních vládních institucí na transfery</t>
  </si>
  <si>
    <t>A.III.2.</t>
  </si>
  <si>
    <t>Náklady vybraných místních vládních institucí na transfery</t>
  </si>
  <si>
    <t>A.V.</t>
  </si>
  <si>
    <t>A.V.1.</t>
  </si>
  <si>
    <t>A.V.2.</t>
  </si>
  <si>
    <t>B.I.</t>
  </si>
  <si>
    <t>B.I.1.</t>
  </si>
  <si>
    <t>B.I.2.</t>
  </si>
  <si>
    <t>B.I.3.</t>
  </si>
  <si>
    <t>B.I.4.</t>
  </si>
  <si>
    <t>B.I.8.</t>
  </si>
  <si>
    <t>B.I.9.</t>
  </si>
  <si>
    <t>B.I.10.</t>
  </si>
  <si>
    <t>B.I.11.</t>
  </si>
  <si>
    <t>Výnosy z vyřazených pohledávek</t>
  </si>
  <si>
    <t>B.I.12.</t>
  </si>
  <si>
    <t>B.I.13.</t>
  </si>
  <si>
    <t>B.I.14.</t>
  </si>
  <si>
    <t>B.I.15.</t>
  </si>
  <si>
    <t>B.I.16.</t>
  </si>
  <si>
    <t>B.I.17.</t>
  </si>
  <si>
    <t>B.II.</t>
  </si>
  <si>
    <t>B.II.1.</t>
  </si>
  <si>
    <t>Výnosy z prodeje cenných papírů a podílů</t>
  </si>
  <si>
    <t>661</t>
  </si>
  <si>
    <t>B.II.2.</t>
  </si>
  <si>
    <t>B.II.3.</t>
  </si>
  <si>
    <t>B.II.4.</t>
  </si>
  <si>
    <t>B.II.6.</t>
  </si>
  <si>
    <t>B.IV.</t>
  </si>
  <si>
    <t>B.IV.1.</t>
  </si>
  <si>
    <t>Výnosy vybraných ústředních vládních institucí z transferů</t>
  </si>
  <si>
    <t>B.IV.2.</t>
  </si>
  <si>
    <t>Výnosy vybraných místních vládních institucí z transferů</t>
  </si>
  <si>
    <t>C.</t>
  </si>
  <si>
    <t>C.1.</t>
  </si>
  <si>
    <t>C.2.</t>
  </si>
  <si>
    <t>Výsledek hospodaření běžného účetního období</t>
  </si>
  <si>
    <t>v Kč</t>
  </si>
  <si>
    <t>Členění</t>
  </si>
  <si>
    <t>Podmíněné závazky (z podrozvahové evidence)</t>
  </si>
  <si>
    <t>Závazky dlouhodobé</t>
  </si>
  <si>
    <t>z toho: po splatnosti</t>
  </si>
  <si>
    <t>Závazky krátkodobé</t>
  </si>
  <si>
    <t>1.</t>
  </si>
  <si>
    <t>2.</t>
  </si>
  <si>
    <t>3.</t>
  </si>
  <si>
    <t>4.</t>
  </si>
  <si>
    <t>5.</t>
  </si>
  <si>
    <t>6.</t>
  </si>
  <si>
    <t>7.</t>
  </si>
  <si>
    <t xml:space="preserve">DZS </t>
  </si>
  <si>
    <t xml:space="preserve">NPMKK </t>
  </si>
  <si>
    <t xml:space="preserve">NTK </t>
  </si>
  <si>
    <t xml:space="preserve">KJWF </t>
  </si>
  <si>
    <t xml:space="preserve">NIDV </t>
  </si>
  <si>
    <t xml:space="preserve">Členění </t>
  </si>
  <si>
    <t>Opravné položky k pohledávkám</t>
  </si>
  <si>
    <t>Odepsané pohledávky (z podrozvahové evidence)</t>
  </si>
  <si>
    <t>Podmíněné pohledávky (z podrozvahové evidence)</t>
  </si>
  <si>
    <t>z toho: pohledávky po lhůtě splatnosti</t>
  </si>
  <si>
    <t>do jednoho roku</t>
  </si>
  <si>
    <t>starší jednoho roku</t>
  </si>
  <si>
    <t>8.</t>
  </si>
  <si>
    <t>10.</t>
  </si>
  <si>
    <t>Podle návrhu organizací</t>
  </si>
  <si>
    <t>EU a FM celkem NIDV</t>
  </si>
  <si>
    <t>EU a FM celkem CZVV</t>
  </si>
  <si>
    <t>OBV ISPROFIN</t>
  </si>
  <si>
    <t>EIS celkem</t>
  </si>
  <si>
    <t>v tom: RF ze zlepšeného HV</t>
  </si>
  <si>
    <t xml:space="preserve">            RF ostatní</t>
  </si>
  <si>
    <t>413/414</t>
  </si>
  <si>
    <t>poj.</t>
  </si>
  <si>
    <t xml:space="preserve">Čerpání </t>
  </si>
  <si>
    <t>výnosy z činnosti</t>
  </si>
  <si>
    <t>ostatní výnosy</t>
  </si>
  <si>
    <t>čerpání fondů</t>
  </si>
  <si>
    <t>rozpočet vč. RF</t>
  </si>
  <si>
    <t>z toho prostředky ze zahraničí</t>
  </si>
  <si>
    <t>z toho</t>
  </si>
  <si>
    <t>Skutečné výnosy celkem</t>
  </si>
  <si>
    <t>Plánované výnosy</t>
  </si>
  <si>
    <t>NPMK</t>
  </si>
  <si>
    <t>v tom:</t>
  </si>
  <si>
    <t>OPŘO celkem kmenová činnost</t>
  </si>
  <si>
    <t>% plnění       Sk/ upr. rozp.</t>
  </si>
  <si>
    <t>ABS vyj. Sk-upr. rozp.</t>
  </si>
  <si>
    <t>% plnění Sk/limit</t>
  </si>
  <si>
    <t>ABS vyj. Sk-limit</t>
  </si>
  <si>
    <t>Počet zaměstnanců</t>
  </si>
  <si>
    <t>Příspěvkové organizace</t>
  </si>
  <si>
    <t>Nenárokové složky platu</t>
  </si>
  <si>
    <t>Odměny</t>
  </si>
  <si>
    <t>Osobní příplatky</t>
  </si>
  <si>
    <t>Nárokové složky platu</t>
  </si>
  <si>
    <t>Ostatní příplatky a ost. náhrady</t>
  </si>
  <si>
    <t>Platy za přesčasy</t>
  </si>
  <si>
    <t>Zvláštní příplatky</t>
  </si>
  <si>
    <t>Příplatky za vedení</t>
  </si>
  <si>
    <t>Náhrady platu</t>
  </si>
  <si>
    <t>Platové tarify</t>
  </si>
  <si>
    <t>Odměny ke smluvním platům</t>
  </si>
  <si>
    <t xml:space="preserve">Průměrné smluvní platy </t>
  </si>
  <si>
    <r>
      <t xml:space="preserve">Členění průměrného </t>
    </r>
    <r>
      <rPr>
        <b/>
        <sz val="10"/>
        <rFont val="Arial CE"/>
        <family val="0"/>
      </rPr>
      <t>tabulkového platu</t>
    </r>
    <r>
      <rPr>
        <sz val="10"/>
        <rFont val="Arial"/>
        <family val="0"/>
      </rPr>
      <t xml:space="preserve"> podle jednotlivých složek platu v Kč</t>
    </r>
  </si>
  <si>
    <t>Průměrný tabulkový plat</t>
  </si>
  <si>
    <t>% nenár. složek platu z platových tarifů</t>
  </si>
  <si>
    <t xml:space="preserve"> smluvní platy</t>
  </si>
  <si>
    <t xml:space="preserve">                                                            průměrné tabulkové platy</t>
  </si>
  <si>
    <t>Průměrný měsíční plat celkem</t>
  </si>
  <si>
    <t>z toho pobírající smluvní plat</t>
  </si>
  <si>
    <t>Přepočtený počet zaměstnanců ze stát. rozpočtu</t>
  </si>
  <si>
    <t>OPŘO  celkem kmenová činnost</t>
  </si>
  <si>
    <t xml:space="preserve">Celkem </t>
  </si>
  <si>
    <t xml:space="preserve">OPŘO </t>
  </si>
  <si>
    <t xml:space="preserve">Sestupné setřídění podle absolutní výše nenárokové složky platu </t>
  </si>
  <si>
    <t>Sestupné setřídění podle průměrného měsíčního platu</t>
  </si>
  <si>
    <t>Členění průměrného platu podle jednotlivých složek platu v KČ</t>
  </si>
  <si>
    <t>v %</t>
  </si>
  <si>
    <t>v ABS.vyj.</t>
  </si>
  <si>
    <t>nenárokové složky platu</t>
  </si>
  <si>
    <t>platové tarify vč. náhrad platu</t>
  </si>
  <si>
    <t xml:space="preserve">průměrný plat </t>
  </si>
  <si>
    <t>Ostatní přímo řízené organizace</t>
  </si>
  <si>
    <t>z jiné činnosti</t>
  </si>
  <si>
    <t>Tabulka č. 11</t>
  </si>
  <si>
    <t>Tabulka č. 12</t>
  </si>
  <si>
    <t>Tabulka č. 13</t>
  </si>
  <si>
    <t>Tabulka č. 14</t>
  </si>
  <si>
    <t>Tabulka č.17</t>
  </si>
  <si>
    <t>Tabulka č. 5</t>
  </si>
  <si>
    <t>329900 - BX</t>
  </si>
  <si>
    <t>329900 - 32</t>
  </si>
  <si>
    <t>329900 - 34</t>
  </si>
  <si>
    <t>329900 - G6</t>
  </si>
  <si>
    <t>329900 - 36</t>
  </si>
  <si>
    <t>329900 - AN</t>
  </si>
  <si>
    <t>329900 - MG</t>
  </si>
  <si>
    <t>380920 - 16</t>
  </si>
  <si>
    <t>622230 - 01</t>
  </si>
  <si>
    <t>DZS-KMENOVÁ ČINNOST</t>
  </si>
  <si>
    <t>DZS-PROJEKTY</t>
  </si>
  <si>
    <t>DZS-OST.MIMO  PROJEKTY A KMEN. ČINNOST</t>
  </si>
  <si>
    <t>DZS - ostatní - Evropské školy</t>
  </si>
  <si>
    <t>DZS - ostatní aktivity sk. 6</t>
  </si>
  <si>
    <t>DZS-účel. podpora na aplikovaný VaV</t>
  </si>
  <si>
    <t>DZS-ROZVOJOVÁ ZAHR.POMOC (OD 1/7/1998)</t>
  </si>
  <si>
    <t>329100 - 06</t>
  </si>
  <si>
    <t>329900 - GL</t>
  </si>
  <si>
    <t>605</t>
  </si>
  <si>
    <t>B.I.5.</t>
  </si>
  <si>
    <t>Výnosy ze správních poplatků</t>
  </si>
  <si>
    <t>v  Kč</t>
  </si>
  <si>
    <t>OP</t>
  </si>
  <si>
    <t>OP - rozpočet</t>
  </si>
  <si>
    <t>OP - nároky</t>
  </si>
  <si>
    <t xml:space="preserve">                 OP</t>
  </si>
  <si>
    <t>CELKEM NÁKLADY</t>
  </si>
  <si>
    <t>5331                (5336)                 01</t>
  </si>
  <si>
    <t>5331                  (5336)                   02</t>
  </si>
  <si>
    <t>5331                (5336)                03</t>
  </si>
  <si>
    <t>5331                 (5336)                04</t>
  </si>
  <si>
    <t>5331                 (5336)                  05</t>
  </si>
  <si>
    <t>5331                          (5336)</t>
  </si>
  <si>
    <t xml:space="preserve">ADV </t>
  </si>
  <si>
    <t>krytí</t>
  </si>
  <si>
    <t>stav</t>
  </si>
  <si>
    <t>rozdíl</t>
  </si>
  <si>
    <t>Tabulka č. 6</t>
  </si>
  <si>
    <t>PC Č. Těšín</t>
  </si>
  <si>
    <t>Nenárokové složky platu      v Kč</t>
  </si>
  <si>
    <t>Půměrný měsíční plat v Kč</t>
  </si>
  <si>
    <t>Tabulka č. 3</t>
  </si>
  <si>
    <t xml:space="preserve">  Prostředky na platy v  Kč</t>
  </si>
  <si>
    <t>OON (OPPP)  v Kč</t>
  </si>
  <si>
    <t>Průměrný měsíční plat v Kč</t>
  </si>
  <si>
    <t>Rozdíl                   -  úspora              + překročení</t>
  </si>
  <si>
    <t>rok 2015</t>
  </si>
  <si>
    <t>skutečnost        rok 2015</t>
  </si>
  <si>
    <t>Peněžní fondy organizací po přídělu ze ZVH v r. 2016</t>
  </si>
  <si>
    <t>DZS - souhrn programů kulturního dědictví</t>
  </si>
  <si>
    <t>329900 - 48</t>
  </si>
  <si>
    <t>DZS - programy NAEP</t>
  </si>
  <si>
    <t>DZS EHP Norsko 2007-13</t>
  </si>
  <si>
    <t xml:space="preserve">060 / 1 </t>
  </si>
  <si>
    <t>Nástroj/Zdroj</t>
  </si>
  <si>
    <t xml:space="preserve">032 / 1 </t>
  </si>
  <si>
    <t>032 / 5</t>
  </si>
  <si>
    <t>NIDV v OP VpK 2007-13 PO 1</t>
  </si>
  <si>
    <t>EU a FM celkem DZS</t>
  </si>
  <si>
    <t>Peněžní fondy OPŘO</t>
  </si>
  <si>
    <t xml:space="preserve">                  z toho: platy</t>
  </si>
  <si>
    <t xml:space="preserve">                             OON</t>
  </si>
  <si>
    <t>Rozdíl                         -  úspora            + překročení</t>
  </si>
  <si>
    <t>Rozdíl                                 -  úspora                         + překročení</t>
  </si>
  <si>
    <t>Upravený rozpočet PO OPŘO na rok 2016 včetně nároků</t>
  </si>
  <si>
    <t>380911 - 16</t>
  </si>
  <si>
    <t xml:space="preserve"> / 1 </t>
  </si>
  <si>
    <t>DZS - mezinárodní aktivity</t>
  </si>
  <si>
    <t xml:space="preserve">/ 1 </t>
  </si>
  <si>
    <t xml:space="preserve"> / 1</t>
  </si>
  <si>
    <t>DZS - intitucionální podpora mezinár. spolupráce</t>
  </si>
  <si>
    <t>EU celkem DZS</t>
  </si>
  <si>
    <t>329100 -16</t>
  </si>
  <si>
    <t xml:space="preserve"> / 1 / </t>
  </si>
  <si>
    <t>NÚV - mezinárodní aktivity</t>
  </si>
  <si>
    <t>329900 - MW</t>
  </si>
  <si>
    <t>NÚV rozvojový program z RgŠ</t>
  </si>
  <si>
    <t>329900 - MS</t>
  </si>
  <si>
    <t>NÚV - OP VVV 2014-2020 PO 3</t>
  </si>
  <si>
    <t>329900 - 44</t>
  </si>
  <si>
    <t>NÚV-KMENOVÁ ČINNOST</t>
  </si>
  <si>
    <t>329900 - 09</t>
  </si>
  <si>
    <t>NÚV udržitelnost spolufinanc.programů EU</t>
  </si>
  <si>
    <t>329900 - 45</t>
  </si>
  <si>
    <t>NÚV-PROJEKTY</t>
  </si>
  <si>
    <t>329900 - AC</t>
  </si>
  <si>
    <t>NÚV-OST.MIMO PROJEKTY A KMEN.ČINNOST</t>
  </si>
  <si>
    <t>329900 - 27</t>
  </si>
  <si>
    <t>NÚV neuzatelné výdaje projektu OP VpK</t>
  </si>
  <si>
    <t>354132 - 04</t>
  </si>
  <si>
    <t>NÚV Protidrogová politika</t>
  </si>
  <si>
    <t>539931 - 05</t>
  </si>
  <si>
    <t>NÚV-KRIMINALITA</t>
  </si>
  <si>
    <t>622100 - 08</t>
  </si>
  <si>
    <t>NÚV - výuka čj. pro cizince dle usnesení vlády</t>
  </si>
  <si>
    <t xml:space="preserve">060 / 5  </t>
  </si>
  <si>
    <t xml:space="preserve">060 / 5 </t>
  </si>
  <si>
    <t xml:space="preserve">103 / 1 </t>
  </si>
  <si>
    <t>103 / 5</t>
  </si>
  <si>
    <t xml:space="preserve">103 / 5 </t>
  </si>
  <si>
    <t>329100 - 07</t>
  </si>
  <si>
    <t>NPMKK - mezinárodní aktivity</t>
  </si>
  <si>
    <t>331500 - 01</t>
  </si>
  <si>
    <t>NPMKK-KMENOVÁ ČINNOST</t>
  </si>
  <si>
    <t>331500 - 03</t>
  </si>
  <si>
    <t>NPMKK - projekty</t>
  </si>
  <si>
    <t>NPMKK-OST.MIMO PROJEKTY A KMEN.ČINNOST</t>
  </si>
  <si>
    <t>331500 - 07</t>
  </si>
  <si>
    <t>NPMKK - výdaje EDS/SMVS na Žalov</t>
  </si>
  <si>
    <t>331500 - 05</t>
  </si>
  <si>
    <t>NTK TP OP VVV 2014-2020</t>
  </si>
  <si>
    <t>331400 - 13</t>
  </si>
  <si>
    <t>329100 - 17</t>
  </si>
  <si>
    <t>NTK - mezinárodní aktivity</t>
  </si>
  <si>
    <t>331400 - 01</t>
  </si>
  <si>
    <t>NTK-KMENOVÁ ČINNOST</t>
  </si>
  <si>
    <t>331400 - 03</t>
  </si>
  <si>
    <t>NTK-PROJEKTY</t>
  </si>
  <si>
    <t>331400 - 07</t>
  </si>
  <si>
    <t>NTK-OST.MIMO  PROJEKTY A KMEN.ČINNOST</t>
  </si>
  <si>
    <t>331400 - 22</t>
  </si>
  <si>
    <t>NTK ostatní - aktivity odboru 51</t>
  </si>
  <si>
    <t>331400 - 14</t>
  </si>
  <si>
    <t>NTK - ostatní aktivity odboru 50</t>
  </si>
  <si>
    <t>380920 - 32</t>
  </si>
  <si>
    <t>NTK - účelová podpora aplikovaného výzkumu</t>
  </si>
  <si>
    <t>KJWF-KMENOVÁ ČINNOST</t>
  </si>
  <si>
    <t>KJWF inst. VaV mezinár. spolupráce</t>
  </si>
  <si>
    <t>329900 - 53</t>
  </si>
  <si>
    <t>380911 - 55</t>
  </si>
  <si>
    <t>329400 - 08</t>
  </si>
  <si>
    <t>NIDV - OP VVV 2014-2020 PO3</t>
  </si>
  <si>
    <t>329400 - 10</t>
  </si>
  <si>
    <t>NIDV PO4 TP OP VVV 2014-2020</t>
  </si>
  <si>
    <t>Celkový upravený rozpočet na projekty spolufinancované EU OPŘO na rok 2016</t>
  </si>
  <si>
    <t>329100 - 15</t>
  </si>
  <si>
    <t>NIDV - mezinárodní aktivity</t>
  </si>
  <si>
    <t>329400 - 04</t>
  </si>
  <si>
    <t>NIDV - ostatní aktivity sk.5</t>
  </si>
  <si>
    <t>329400 - 01</t>
  </si>
  <si>
    <t>NIDV kmen -Zař. pro další vzd. pedagog. prac.</t>
  </si>
  <si>
    <t>329400 - 07</t>
  </si>
  <si>
    <t>NIDV - udržitelnost projektů spolufinancovaných s</t>
  </si>
  <si>
    <t>329400 - 03</t>
  </si>
  <si>
    <t>NIDV - projekty</t>
  </si>
  <si>
    <t>329400 - 05</t>
  </si>
  <si>
    <t>NIDV - ostatní mimo projekty a KČ</t>
  </si>
  <si>
    <t>329400 - 09</t>
  </si>
  <si>
    <t>NIDV další aktivity sekcí</t>
  </si>
  <si>
    <t>329900 - 07</t>
  </si>
  <si>
    <t>NIDV ostatní aktivity skup.</t>
  </si>
  <si>
    <t>354132 - 15</t>
  </si>
  <si>
    <t>NIVD PHA-PROTIDROGOVÁ POL.</t>
  </si>
  <si>
    <t>539931 - 15</t>
  </si>
  <si>
    <t>NIDV PHA-KRIMINALITA</t>
  </si>
  <si>
    <t>329900 - 92</t>
  </si>
  <si>
    <t>CZVV TP OP VVV 2014-2020</t>
  </si>
  <si>
    <t>329900 - FY</t>
  </si>
  <si>
    <t>CZVV PO - kmenová činnost</t>
  </si>
  <si>
    <t>329900 - MY</t>
  </si>
  <si>
    <t>CZVV ostatní aktivity sekcí</t>
  </si>
  <si>
    <t>329900 - FZ</t>
  </si>
  <si>
    <t>CZVV - PO ostatní</t>
  </si>
  <si>
    <t>329900 - 62</t>
  </si>
  <si>
    <t>PC TĚŠÍN-KMENOVÁ ČINNOST</t>
  </si>
  <si>
    <t>329900 - 63</t>
  </si>
  <si>
    <t>PC TĚŠÍN-PROJEKTY</t>
  </si>
  <si>
    <t>329900 - AI</t>
  </si>
  <si>
    <t>PC TĚŠ.-OST.MIMO PROJEKTY A KMEN. ČINNOST</t>
  </si>
  <si>
    <t>341100 - 01</t>
  </si>
  <si>
    <t>ANTIDOPINGOVÝ VÝBOR-KMEN.ČINNOST</t>
  </si>
  <si>
    <t xml:space="preserve">Upravený rozpočet 2016 - v členění na rozpis rozpočtu v databázi ISROS a skutečně přidělené finanční prostředky platebními poukazy </t>
  </si>
  <si>
    <t>Porovnání rozpočtu celkových nákladů a skutečnosti OPŘO za rok 2016</t>
  </si>
  <si>
    <t>Porovnání rozpočtu ostatních neinvestičních výdajů, zákonných odvodů, FKSP a ostatních běžných výdajů a skutečnosti za rok 2016</t>
  </si>
  <si>
    <t>Porovnání rozpočtovaných výnosů se skutečností za rok 2016</t>
  </si>
  <si>
    <t>Přehled o hospodářských výsledcích OPŘO celkem za rok 2016</t>
  </si>
  <si>
    <t>Výsledek hospodaření OPŘO v hlavní činnosti za rok 2016</t>
  </si>
  <si>
    <t>Výsledek hospodaření OPŘO v jiné činnosti za rok 2016</t>
  </si>
  <si>
    <t>Stav k 1.1.2016</t>
  </si>
  <si>
    <t>Stav k 31.12.2016</t>
  </si>
  <si>
    <t>Změna stavu za rok 2016 (2-1)</t>
  </si>
  <si>
    <t>rok 2016</t>
  </si>
  <si>
    <t>Přehled o pohledávkách ke dni 31. 12. 2016</t>
  </si>
  <si>
    <t>Pohledávky krátkodobé k 31.12. 2016, daného roku BRUTTO</t>
  </si>
  <si>
    <t>Pohledávky dlouhodobé k 31.12. 2016, daného roku</t>
  </si>
  <si>
    <t>Pohledávky krátkodobé k 31.12. 2016, daného roku NETTO</t>
  </si>
  <si>
    <t>Pohledávky celkem k 31.12. 2016, daného roku NETTO</t>
  </si>
  <si>
    <t>Přehled o závazcích ke dni 31. 12. 2016</t>
  </si>
  <si>
    <t>Závazky celkem k 31.12.2016</t>
  </si>
  <si>
    <t>Peněžní fondy organizací po přídělu ze ZVH v r. 2017</t>
  </si>
  <si>
    <t>EU</t>
  </si>
  <si>
    <t>Stav po přídělu v r. 2017</t>
  </si>
  <si>
    <t>Plnění závazných ukazatelů regulace zaměstnanosti OPŘO za rok 2016</t>
  </si>
  <si>
    <t>upravený limit k 31. 12. 2016</t>
  </si>
  <si>
    <t>skutečné plnění rok 2016</t>
  </si>
  <si>
    <t>upr.rozp. vč. nároků                     k 31. 12. 2016</t>
  </si>
  <si>
    <t>skutečné čerpání           rok 2016</t>
  </si>
  <si>
    <t xml:space="preserve">Meziroční porovnání dosažené skutečnosti počtu zaměstnanců a jednotlivých složek platu (rok 2016 k roku 2015)   </t>
  </si>
  <si>
    <t>2016/2015 v abs. vyj.</t>
  </si>
  <si>
    <t>2016/2015 v %</t>
  </si>
  <si>
    <r>
      <t xml:space="preserve">                   Meziroční porovnání skutečně dosažených vybraných složek platu u OPŘO</t>
    </r>
    <r>
      <rPr>
        <sz val="14"/>
        <rFont val="Times New Roman"/>
        <family val="1"/>
      </rPr>
      <t xml:space="preserve"> (rok 2016 k roku 2015)   </t>
    </r>
  </si>
  <si>
    <t>skutečnost        rok 2016</t>
  </si>
  <si>
    <t>9.</t>
  </si>
  <si>
    <t>Zapojení fondů  účet 648</t>
  </si>
  <si>
    <t>FRM investiční</t>
  </si>
  <si>
    <t>Rezerní fond - prostředky EU, granty, FM</t>
  </si>
  <si>
    <t>Celkem čerpání fondů</t>
  </si>
  <si>
    <t>Rezevní fond</t>
  </si>
  <si>
    <t>FRM neinvestiční</t>
  </si>
  <si>
    <t>Přehled zapojení fondů OPŘO v roce 2016</t>
  </si>
  <si>
    <t>k 31.12. 2016</t>
  </si>
  <si>
    <t>PC Č.Těš.</t>
  </si>
  <si>
    <t>Porovnání skutečnosti                 2016/2015</t>
  </si>
  <si>
    <t xml:space="preserve">Počet zaměstnanců, průměrný měsíční plat a jeho jednotlivé složky za OPŘO  za rok 2016                                                                        </t>
  </si>
  <si>
    <t>X</t>
  </si>
  <si>
    <t>Porovnání skutečných a plánovaných výnosů           (sl. 4 - sl. 3)</t>
  </si>
  <si>
    <t>Tabulka č. 2</t>
  </si>
  <si>
    <t>Tabulka č. 4</t>
  </si>
  <si>
    <t>Tabulka č. 15</t>
  </si>
  <si>
    <t>Tabulka č. 16</t>
  </si>
  <si>
    <t>Tabulka č.18</t>
  </si>
  <si>
    <t>Tabulka č.19</t>
  </si>
  <si>
    <t>Tabulka č. 20</t>
  </si>
  <si>
    <t>Položky upravující HV (vratky dotací)</t>
  </si>
  <si>
    <t>Upravený HV</t>
  </si>
  <si>
    <t>nerozepsané</t>
  </si>
  <si>
    <t>isros</t>
  </si>
  <si>
    <t>jen SR bez EU</t>
  </si>
  <si>
    <t>Skutečnost (zaúčtovaný příděl z účtu 527 dle PAP)</t>
  </si>
  <si>
    <t>Skutečnost (účet 527 dle VZaZ)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</si>
</sst>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/m/yy"/>
    <numFmt numFmtId="174" formatCode="d/m/yy\ h:mm"/>
    <numFmt numFmtId="175" formatCode="d/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"/>
    <numFmt numFmtId="180" formatCode="0.000"/>
    <numFmt numFmtId="181" formatCode="0.0"/>
    <numFmt numFmtId="182" formatCode="0.00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dd/mm/yy"/>
    <numFmt numFmtId="189" formatCode="000\ 00"/>
    <numFmt numFmtId="190" formatCode="0.0000000"/>
    <numFmt numFmtId="191" formatCode="0_ ;[Red]\-0\ "/>
    <numFmt numFmtId="192" formatCode="#,##0_ ;[Red]\-#,##0\ "/>
    <numFmt numFmtId="193" formatCode="[$€-2]\ #\ ##,000_);[Red]\([$€-2]\ #\ ##,000\)"/>
    <numFmt numFmtId="194" formatCode="#,##0.0000000"/>
    <numFmt numFmtId="195" formatCode="#,##0.00000000"/>
    <numFmt numFmtId="196" formatCode="[$¥€-2]\ #\ ##,000_);[Red]\([$€-2]\ #\ ##,000\)"/>
    <numFmt numFmtId="197" formatCode="#,##0.00;\-#,##0.00;#,##0.00;@"/>
    <numFmt numFmtId="198" formatCode="[$-405]d\.\ mmmm\ yyyy"/>
    <numFmt numFmtId="199" formatCode="#,##0.00\ &quot;Kč&quot;"/>
    <numFmt numFmtId="200" formatCode="#,##0.00_ ;\-#,##0.00\ "/>
    <numFmt numFmtId="201" formatCode="#,##0.000_ ;\-#,##0.000\ "/>
    <numFmt numFmtId="202" formatCode="#,##0.0000_ ;\-#,##0.0000\ "/>
    <numFmt numFmtId="203" formatCode="#,##0.000;\-#,##0.000;#,##0.000;@"/>
    <numFmt numFmtId="204" formatCode="#,##0.0;\-#,##0.0;#,##0.0;@"/>
    <numFmt numFmtId="205" formatCode="#,##0.0000;\-#,##0.0000;#,##0.0000;@"/>
    <numFmt numFmtId="206" formatCode="#,##0.00000_ ;\-#,##0.00000\ "/>
    <numFmt numFmtId="207" formatCode="#,##0.00;\-#,##0.00;&quot;&quot;;@"/>
  </numFmts>
  <fonts count="79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8"/>
      <name val="Arial CE"/>
      <family val="0"/>
    </font>
    <font>
      <sz val="8"/>
      <name val="Arial"/>
      <family val="2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1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Arial CE"/>
      <family val="0"/>
    </font>
    <font>
      <b/>
      <sz val="16"/>
      <name val="Times New Roman"/>
      <family val="1"/>
    </font>
    <font>
      <i/>
      <sz val="11"/>
      <name val="Times New Roman"/>
      <family val="1"/>
    </font>
    <font>
      <sz val="9"/>
      <name val="Arial CE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Arial CE"/>
      <family val="2"/>
    </font>
    <font>
      <b/>
      <sz val="13"/>
      <name val="Times New Roman"/>
      <family val="1"/>
    </font>
    <font>
      <b/>
      <sz val="8"/>
      <name val="Arial"/>
      <family val="2"/>
    </font>
    <font>
      <b/>
      <i/>
      <sz val="11"/>
      <name val="Times New Roman"/>
      <family val="1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83">
    <xf numFmtId="0" fontId="0" fillId="0" borderId="0" xfId="0" applyAlignment="1">
      <alignment/>
    </xf>
    <xf numFmtId="0" fontId="2" fillId="0" borderId="0" xfId="66">
      <alignment/>
      <protection/>
    </xf>
    <xf numFmtId="0" fontId="4" fillId="0" borderId="0" xfId="68" applyFont="1">
      <alignment/>
      <protection/>
    </xf>
    <xf numFmtId="0" fontId="4" fillId="0" borderId="0" xfId="66" applyFont="1">
      <alignment/>
      <protection/>
    </xf>
    <xf numFmtId="0" fontId="2" fillId="0" borderId="0" xfId="66" applyFont="1">
      <alignment/>
      <protection/>
    </xf>
    <xf numFmtId="0" fontId="5" fillId="0" borderId="0" xfId="66" applyFont="1" applyAlignment="1">
      <alignment horizontal="center" vertical="center" wrapText="1"/>
      <protection/>
    </xf>
    <xf numFmtId="0" fontId="5" fillId="0" borderId="10" xfId="66" applyFont="1" applyBorder="1" applyAlignment="1">
      <alignment horizontal="center"/>
      <protection/>
    </xf>
    <xf numFmtId="2" fontId="2" fillId="0" borderId="0" xfId="66" applyNumberFormat="1">
      <alignment/>
      <protection/>
    </xf>
    <xf numFmtId="0" fontId="5" fillId="0" borderId="11" xfId="66" applyFont="1" applyBorder="1">
      <alignment/>
      <protection/>
    </xf>
    <xf numFmtId="0" fontId="5" fillId="0" borderId="12" xfId="66" applyFont="1" applyBorder="1">
      <alignment/>
      <protection/>
    </xf>
    <xf numFmtId="0" fontId="5" fillId="0" borderId="0" xfId="66" applyFont="1" applyBorder="1">
      <alignment/>
      <protection/>
    </xf>
    <xf numFmtId="4" fontId="5" fillId="0" borderId="0" xfId="66" applyNumberFormat="1" applyFont="1" applyBorder="1" applyAlignment="1">
      <alignment horizontal="right"/>
      <protection/>
    </xf>
    <xf numFmtId="4" fontId="5" fillId="0" borderId="0" xfId="66" applyNumberFormat="1" applyFont="1" applyBorder="1">
      <alignment/>
      <protection/>
    </xf>
    <xf numFmtId="0" fontId="5" fillId="0" borderId="0" xfId="69" applyFont="1" applyAlignment="1">
      <alignment horizontal="right"/>
      <protection/>
    </xf>
    <xf numFmtId="0" fontId="2" fillId="0" borderId="13" xfId="66" applyBorder="1">
      <alignment/>
      <protection/>
    </xf>
    <xf numFmtId="0" fontId="2" fillId="0" borderId="14" xfId="66" applyBorder="1">
      <alignment/>
      <protection/>
    </xf>
    <xf numFmtId="0" fontId="2" fillId="0" borderId="15" xfId="66" applyBorder="1">
      <alignment/>
      <protection/>
    </xf>
    <xf numFmtId="0" fontId="5" fillId="0" borderId="16" xfId="66" applyFont="1" applyBorder="1" applyAlignment="1">
      <alignment horizontal="center" vertical="center" wrapText="1"/>
      <protection/>
    </xf>
    <xf numFmtId="0" fontId="5" fillId="0" borderId="17" xfId="66" applyFont="1" applyBorder="1" applyAlignment="1">
      <alignment horizontal="center" vertical="center" wrapText="1"/>
      <protection/>
    </xf>
    <xf numFmtId="4" fontId="2" fillId="0" borderId="0" xfId="66" applyNumberFormat="1">
      <alignment/>
      <protection/>
    </xf>
    <xf numFmtId="0" fontId="2" fillId="24" borderId="0" xfId="66" applyFill="1">
      <alignment/>
      <protection/>
    </xf>
    <xf numFmtId="0" fontId="2" fillId="0" borderId="13" xfId="66" applyBorder="1" applyAlignment="1">
      <alignment horizontal="center" vertical="center" wrapText="1"/>
      <protection/>
    </xf>
    <xf numFmtId="0" fontId="5" fillId="0" borderId="18" xfId="66" applyFont="1" applyBorder="1">
      <alignment/>
      <protection/>
    </xf>
    <xf numFmtId="0" fontId="2" fillId="0" borderId="19" xfId="66" applyBorder="1">
      <alignment/>
      <protection/>
    </xf>
    <xf numFmtId="0" fontId="5" fillId="0" borderId="20" xfId="66" applyFont="1" applyBorder="1">
      <alignment/>
      <protection/>
    </xf>
    <xf numFmtId="0" fontId="2" fillId="0" borderId="18" xfId="66" applyBorder="1">
      <alignment/>
      <protection/>
    </xf>
    <xf numFmtId="0" fontId="5" fillId="0" borderId="21" xfId="66" applyFont="1" applyBorder="1">
      <alignment/>
      <protection/>
    </xf>
    <xf numFmtId="0" fontId="2" fillId="0" borderId="22" xfId="66" applyBorder="1">
      <alignment/>
      <protection/>
    </xf>
    <xf numFmtId="0" fontId="5" fillId="0" borderId="23" xfId="66" applyFont="1" applyBorder="1" applyAlignment="1">
      <alignment horizontal="center" vertical="center" wrapText="1"/>
      <protection/>
    </xf>
    <xf numFmtId="0" fontId="5" fillId="24" borderId="12" xfId="66" applyFont="1" applyFill="1" applyBorder="1" applyAlignment="1">
      <alignment horizontal="center"/>
      <protection/>
    </xf>
    <xf numFmtId="0" fontId="7" fillId="0" borderId="0" xfId="72" applyFont="1">
      <alignment/>
      <protection/>
    </xf>
    <xf numFmtId="0" fontId="8" fillId="0" borderId="0" xfId="72" applyFont="1">
      <alignment/>
      <protection/>
    </xf>
    <xf numFmtId="0" fontId="8" fillId="0" borderId="0" xfId="72" applyFont="1" quotePrefix="1">
      <alignment/>
      <protection/>
    </xf>
    <xf numFmtId="0" fontId="8" fillId="0" borderId="0" xfId="67" applyFont="1">
      <alignment/>
      <protection/>
    </xf>
    <xf numFmtId="14" fontId="4" fillId="0" borderId="0" xfId="67" applyNumberFormat="1" applyFont="1" applyFill="1" quotePrefix="1">
      <alignment/>
      <protection/>
    </xf>
    <xf numFmtId="0" fontId="2" fillId="0" borderId="0" xfId="67">
      <alignment/>
      <protection/>
    </xf>
    <xf numFmtId="0" fontId="4" fillId="0" borderId="0" xfId="72" applyFont="1">
      <alignment/>
      <protection/>
    </xf>
    <xf numFmtId="14" fontId="4" fillId="0" borderId="0" xfId="67" applyNumberFormat="1" applyFont="1" quotePrefix="1">
      <alignment/>
      <protection/>
    </xf>
    <xf numFmtId="0" fontId="4" fillId="0" borderId="0" xfId="67" applyFont="1" applyAlignment="1">
      <alignment horizontal="right"/>
      <protection/>
    </xf>
    <xf numFmtId="0" fontId="6" fillId="0" borderId="0" xfId="0" applyFont="1" applyAlignment="1">
      <alignment/>
    </xf>
    <xf numFmtId="0" fontId="2" fillId="0" borderId="0" xfId="69">
      <alignment/>
      <protection/>
    </xf>
    <xf numFmtId="0" fontId="11" fillId="0" borderId="0" xfId="69" applyFont="1">
      <alignment/>
      <protection/>
    </xf>
    <xf numFmtId="0" fontId="4" fillId="0" borderId="0" xfId="68" applyFont="1" applyAlignment="1">
      <alignment horizontal="right"/>
      <protection/>
    </xf>
    <xf numFmtId="0" fontId="4" fillId="0" borderId="0" xfId="69" applyFont="1">
      <alignment/>
      <protection/>
    </xf>
    <xf numFmtId="0" fontId="2" fillId="0" borderId="0" xfId="69" applyAlignment="1">
      <alignment horizontal="right"/>
      <protection/>
    </xf>
    <xf numFmtId="0" fontId="2" fillId="0" borderId="0" xfId="69" applyFont="1">
      <alignment/>
      <protection/>
    </xf>
    <xf numFmtId="0" fontId="4" fillId="0" borderId="12" xfId="69" applyFont="1" applyBorder="1" applyAlignment="1">
      <alignment horizontal="center" vertical="center" wrapText="1"/>
      <protection/>
    </xf>
    <xf numFmtId="0" fontId="5" fillId="0" borderId="18" xfId="69" applyFont="1" applyFill="1" applyBorder="1">
      <alignment/>
      <protection/>
    </xf>
    <xf numFmtId="0" fontId="5" fillId="0" borderId="18" xfId="69" applyFont="1" applyBorder="1">
      <alignment/>
      <protection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12" xfId="69" applyFont="1" applyBorder="1">
      <alignment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24" borderId="0" xfId="0" applyFill="1" applyAlignment="1">
      <alignment/>
    </xf>
    <xf numFmtId="0" fontId="5" fillId="24" borderId="21" xfId="66" applyFont="1" applyFill="1" applyBorder="1">
      <alignment/>
      <protection/>
    </xf>
    <xf numFmtId="0" fontId="2" fillId="0" borderId="18" xfId="66" applyBorder="1" applyAlignment="1">
      <alignment horizontal="center"/>
      <protection/>
    </xf>
    <xf numFmtId="0" fontId="2" fillId="24" borderId="18" xfId="66" applyFill="1" applyBorder="1" applyAlignment="1">
      <alignment horizontal="center"/>
      <protection/>
    </xf>
    <xf numFmtId="0" fontId="2" fillId="0" borderId="0" xfId="66" applyFill="1">
      <alignment/>
      <protection/>
    </xf>
    <xf numFmtId="0" fontId="4" fillId="0" borderId="0" xfId="68" applyFont="1" applyFill="1">
      <alignment/>
      <protection/>
    </xf>
    <xf numFmtId="0" fontId="2" fillId="0" borderId="0" xfId="66" applyFont="1" applyFill="1">
      <alignment/>
      <protection/>
    </xf>
    <xf numFmtId="0" fontId="5" fillId="0" borderId="24" xfId="66" applyFont="1" applyFill="1" applyBorder="1">
      <alignment/>
      <protection/>
    </xf>
    <xf numFmtId="0" fontId="0" fillId="0" borderId="0" xfId="0" applyFont="1" applyAlignment="1">
      <alignment/>
    </xf>
    <xf numFmtId="0" fontId="17" fillId="0" borderId="25" xfId="0" applyFont="1" applyBorder="1" applyAlignment="1">
      <alignment/>
    </xf>
    <xf numFmtId="0" fontId="17" fillId="0" borderId="2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7" fillId="4" borderId="25" xfId="0" applyFont="1" applyFill="1" applyBorder="1" applyAlignment="1">
      <alignment/>
    </xf>
    <xf numFmtId="0" fontId="5" fillId="0" borderId="26" xfId="66" applyFont="1" applyBorder="1" applyAlignment="1">
      <alignment horizontal="center" vertical="center" wrapText="1"/>
      <protection/>
    </xf>
    <xf numFmtId="0" fontId="5" fillId="0" borderId="27" xfId="66" applyFont="1" applyBorder="1" applyAlignment="1">
      <alignment horizontal="center"/>
      <protection/>
    </xf>
    <xf numFmtId="0" fontId="5" fillId="0" borderId="28" xfId="66" applyFont="1" applyBorder="1">
      <alignment/>
      <protection/>
    </xf>
    <xf numFmtId="0" fontId="5" fillId="0" borderId="23" xfId="66" applyFont="1" applyBorder="1">
      <alignment/>
      <protection/>
    </xf>
    <xf numFmtId="0" fontId="6" fillId="0" borderId="15" xfId="0" applyFont="1" applyFill="1" applyBorder="1" applyAlignment="1">
      <alignment horizontal="center" wrapText="1"/>
    </xf>
    <xf numFmtId="0" fontId="5" fillId="0" borderId="29" xfId="66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wrapText="1"/>
    </xf>
    <xf numFmtId="0" fontId="5" fillId="0" borderId="31" xfId="66" applyFont="1" applyBorder="1" applyAlignment="1">
      <alignment horizontal="center"/>
      <protection/>
    </xf>
    <xf numFmtId="0" fontId="5" fillId="0" borderId="32" xfId="66" applyFont="1" applyBorder="1" applyAlignment="1">
      <alignment horizontal="center"/>
      <protection/>
    </xf>
    <xf numFmtId="0" fontId="5" fillId="0" borderId="32" xfId="66" applyFont="1" applyFill="1" applyBorder="1" applyAlignment="1">
      <alignment horizontal="center"/>
      <protection/>
    </xf>
    <xf numFmtId="0" fontId="70" fillId="0" borderId="0" xfId="50">
      <alignment/>
      <protection/>
    </xf>
    <xf numFmtId="0" fontId="17" fillId="25" borderId="25" xfId="0" applyFont="1" applyFill="1" applyBorder="1" applyAlignment="1">
      <alignment/>
    </xf>
    <xf numFmtId="184" fontId="0" fillId="0" borderId="0" xfId="0" applyNumberFormat="1" applyAlignment="1">
      <alignment/>
    </xf>
    <xf numFmtId="184" fontId="17" fillId="0" borderId="25" xfId="0" applyNumberFormat="1" applyFont="1" applyBorder="1" applyAlignment="1">
      <alignment horizontal="center" vertical="center"/>
    </xf>
    <xf numFmtId="184" fontId="17" fillId="0" borderId="25" xfId="0" applyNumberFormat="1" applyFont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35" fillId="0" borderId="0" xfId="0" applyFon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5" fillId="0" borderId="35" xfId="66" applyFont="1" applyBorder="1" applyAlignment="1">
      <alignment horizontal="center"/>
      <protection/>
    </xf>
    <xf numFmtId="0" fontId="5" fillId="0" borderId="36" xfId="66" applyFont="1" applyFill="1" applyBorder="1" applyAlignment="1">
      <alignment horizontal="center"/>
      <protection/>
    </xf>
    <xf numFmtId="0" fontId="5" fillId="0" borderId="37" xfId="66" applyFont="1" applyBorder="1" applyAlignment="1">
      <alignment horizontal="center"/>
      <protection/>
    </xf>
    <xf numFmtId="0" fontId="5" fillId="0" borderId="38" xfId="66" applyFont="1" applyBorder="1" applyAlignment="1">
      <alignment horizontal="center"/>
      <protection/>
    </xf>
    <xf numFmtId="0" fontId="5" fillId="0" borderId="39" xfId="66" applyFont="1" applyBorder="1" applyAlignment="1">
      <alignment horizontal="center"/>
      <protection/>
    </xf>
    <xf numFmtId="4" fontId="5" fillId="0" borderId="0" xfId="66" applyNumberFormat="1" applyFont="1" applyFill="1" applyBorder="1">
      <alignment/>
      <protection/>
    </xf>
    <xf numFmtId="0" fontId="71" fillId="0" borderId="0" xfId="0" applyFont="1" applyAlignment="1">
      <alignment/>
    </xf>
    <xf numFmtId="0" fontId="14" fillId="0" borderId="0" xfId="0" applyFont="1" applyFill="1" applyAlignment="1">
      <alignment/>
    </xf>
    <xf numFmtId="0" fontId="72" fillId="0" borderId="0" xfId="0" applyFont="1" applyAlignment="1">
      <alignment wrapText="1"/>
    </xf>
    <xf numFmtId="49" fontId="73" fillId="26" borderId="25" xfId="0" applyNumberFormat="1" applyFont="1" applyFill="1" applyBorder="1" applyAlignment="1">
      <alignment horizontal="left" vertical="center" wrapText="1"/>
    </xf>
    <xf numFmtId="49" fontId="73" fillId="27" borderId="25" xfId="0" applyNumberFormat="1" applyFont="1" applyFill="1" applyBorder="1" applyAlignment="1">
      <alignment horizontal="left" vertical="center" wrapText="1"/>
    </xf>
    <xf numFmtId="49" fontId="73" fillId="0" borderId="25" xfId="0" applyNumberFormat="1" applyFon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" fillId="0" borderId="40" xfId="66" applyBorder="1">
      <alignment/>
      <protection/>
    </xf>
    <xf numFmtId="0" fontId="2" fillId="0" borderId="41" xfId="66" applyBorder="1">
      <alignment/>
      <protection/>
    </xf>
    <xf numFmtId="0" fontId="2" fillId="0" borderId="0" xfId="66" applyAlignment="1">
      <alignment/>
      <protection/>
    </xf>
    <xf numFmtId="0" fontId="4" fillId="0" borderId="0" xfId="68" applyFont="1" applyAlignment="1">
      <alignment/>
      <protection/>
    </xf>
    <xf numFmtId="0" fontId="4" fillId="0" borderId="0" xfId="66" applyFont="1" applyAlignment="1">
      <alignment/>
      <protection/>
    </xf>
    <xf numFmtId="0" fontId="2" fillId="0" borderId="0" xfId="66" applyFont="1" applyAlignment="1">
      <alignment/>
      <protection/>
    </xf>
    <xf numFmtId="0" fontId="2" fillId="24" borderId="0" xfId="66" applyFill="1" applyAlignment="1">
      <alignment/>
      <protection/>
    </xf>
    <xf numFmtId="0" fontId="2" fillId="0" borderId="24" xfId="66" applyBorder="1" applyAlignment="1">
      <alignment/>
      <protection/>
    </xf>
    <xf numFmtId="184" fontId="2" fillId="0" borderId="0" xfId="66" applyNumberFormat="1">
      <alignment/>
      <protection/>
    </xf>
    <xf numFmtId="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9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4" fontId="40" fillId="0" borderId="0" xfId="0" applyNumberFormat="1" applyFont="1" applyAlignment="1">
      <alignment horizontal="right" vertical="top"/>
    </xf>
    <xf numFmtId="0" fontId="5" fillId="0" borderId="12" xfId="66" applyFont="1" applyFill="1" applyBorder="1">
      <alignment/>
      <protection/>
    </xf>
    <xf numFmtId="0" fontId="5" fillId="0" borderId="12" xfId="66" applyFont="1" applyFill="1" applyBorder="1" applyAlignment="1">
      <alignment horizontal="center"/>
      <protection/>
    </xf>
    <xf numFmtId="0" fontId="2" fillId="0" borderId="13" xfId="66" applyFill="1" applyBorder="1">
      <alignment/>
      <protection/>
    </xf>
    <xf numFmtId="0" fontId="2" fillId="0" borderId="14" xfId="66" applyFill="1" applyBorder="1">
      <alignment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2" fillId="0" borderId="42" xfId="66" applyFill="1" applyBorder="1" applyAlignment="1">
      <alignment horizontal="center" vertical="center" wrapText="1"/>
      <protection/>
    </xf>
    <xf numFmtId="0" fontId="2" fillId="0" borderId="0" xfId="66" applyFill="1" applyBorder="1">
      <alignment/>
      <protection/>
    </xf>
    <xf numFmtId="0" fontId="4" fillId="0" borderId="0" xfId="66" applyFont="1" applyFill="1">
      <alignment/>
      <protection/>
    </xf>
    <xf numFmtId="0" fontId="2" fillId="0" borderId="18" xfId="66" applyFill="1" applyBorder="1" applyAlignment="1">
      <alignment horizontal="center"/>
      <protection/>
    </xf>
    <xf numFmtId="0" fontId="2" fillId="0" borderId="0" xfId="66" applyFill="1" applyAlignment="1">
      <alignment/>
      <protection/>
    </xf>
    <xf numFmtId="183" fontId="2" fillId="0" borderId="0" xfId="69" applyNumberFormat="1">
      <alignment/>
      <protection/>
    </xf>
    <xf numFmtId="0" fontId="0" fillId="0" borderId="0" xfId="0" applyFill="1" applyBorder="1" applyAlignment="1">
      <alignment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49" fontId="73" fillId="26" borderId="45" xfId="0" applyNumberFormat="1" applyFont="1" applyFill="1" applyBorder="1" applyAlignment="1">
      <alignment horizontal="left" vertical="center" wrapText="1"/>
    </xf>
    <xf numFmtId="49" fontId="73" fillId="27" borderId="45" xfId="0" applyNumberFormat="1" applyFont="1" applyFill="1" applyBorder="1" applyAlignment="1">
      <alignment horizontal="left" vertical="center" wrapText="1"/>
    </xf>
    <xf numFmtId="49" fontId="73" fillId="0" borderId="45" xfId="0" applyNumberFormat="1" applyFont="1" applyFill="1" applyBorder="1" applyAlignment="1">
      <alignment horizontal="left" vertical="center" wrapText="1"/>
    </xf>
    <xf numFmtId="0" fontId="2" fillId="0" borderId="22" xfId="66" applyFill="1" applyBorder="1" applyAlignment="1">
      <alignment horizontal="center"/>
      <protection/>
    </xf>
    <xf numFmtId="0" fontId="2" fillId="0" borderId="12" xfId="66" applyFill="1" applyBorder="1" applyAlignment="1">
      <alignment horizontal="center"/>
      <protection/>
    </xf>
    <xf numFmtId="0" fontId="17" fillId="28" borderId="25" xfId="0" applyFont="1" applyFill="1" applyBorder="1" applyAlignment="1">
      <alignment horizontal="center" vertical="center" wrapText="1"/>
    </xf>
    <xf numFmtId="4" fontId="40" fillId="0" borderId="46" xfId="0" applyNumberFormat="1" applyFont="1" applyBorder="1" applyAlignment="1">
      <alignment/>
    </xf>
    <xf numFmtId="4" fontId="40" fillId="0" borderId="46" xfId="0" applyNumberFormat="1" applyFont="1" applyBorder="1" applyAlignment="1">
      <alignment horizontal="left" indent="2"/>
    </xf>
    <xf numFmtId="4" fontId="40" fillId="0" borderId="25" xfId="0" applyNumberFormat="1" applyFont="1" applyBorder="1" applyAlignment="1">
      <alignment/>
    </xf>
    <xf numFmtId="4" fontId="40" fillId="0" borderId="25" xfId="0" applyNumberFormat="1" applyFont="1" applyBorder="1" applyAlignment="1">
      <alignment horizontal="left" indent="2"/>
    </xf>
    <xf numFmtId="4" fontId="40" fillId="0" borderId="25" xfId="0" applyNumberFormat="1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2" fillId="0" borderId="0" xfId="69" applyBorder="1">
      <alignment/>
      <protection/>
    </xf>
    <xf numFmtId="4" fontId="40" fillId="0" borderId="40" xfId="0" applyNumberFormat="1" applyFont="1" applyBorder="1" applyAlignment="1">
      <alignment horizontal="left" indent="2"/>
    </xf>
    <xf numFmtId="4" fontId="40" fillId="27" borderId="48" xfId="0" applyNumberFormat="1" applyFont="1" applyFill="1" applyBorder="1" applyAlignment="1">
      <alignment/>
    </xf>
    <xf numFmtId="4" fontId="40" fillId="27" borderId="25" xfId="0" applyNumberFormat="1" applyFont="1" applyFill="1" applyBorder="1" applyAlignment="1">
      <alignment/>
    </xf>
    <xf numFmtId="197" fontId="73" fillId="29" borderId="0" xfId="0" applyNumberFormat="1" applyFont="1" applyFill="1" applyBorder="1" applyAlignment="1">
      <alignment horizontal="right" vertical="center" wrapText="1"/>
    </xf>
    <xf numFmtId="197" fontId="73" fillId="0" borderId="0" xfId="0" applyNumberFormat="1" applyFont="1" applyFill="1" applyBorder="1" applyAlignment="1">
      <alignment horizontal="right" vertical="center" wrapText="1"/>
    </xf>
    <xf numFmtId="4" fontId="73" fillId="0" borderId="0" xfId="0" applyNumberFormat="1" applyFont="1" applyFill="1" applyBorder="1" applyAlignment="1">
      <alignment horizontal="right" vertical="center" wrapText="1"/>
    </xf>
    <xf numFmtId="0" fontId="5" fillId="0" borderId="49" xfId="69" applyFont="1" applyFill="1" applyBorder="1">
      <alignment/>
      <protection/>
    </xf>
    <xf numFmtId="0" fontId="2" fillId="0" borderId="12" xfId="69" applyBorder="1">
      <alignment/>
      <protection/>
    </xf>
    <xf numFmtId="0" fontId="2" fillId="0" borderId="0" xfId="67" applyFill="1">
      <alignment/>
      <protection/>
    </xf>
    <xf numFmtId="0" fontId="2" fillId="0" borderId="0" xfId="59">
      <alignment/>
      <protection/>
    </xf>
    <xf numFmtId="0" fontId="2" fillId="0" borderId="0" xfId="59" applyBorder="1">
      <alignment/>
      <protection/>
    </xf>
    <xf numFmtId="181" fontId="44" fillId="0" borderId="0" xfId="59" applyNumberFormat="1" applyFont="1" applyBorder="1">
      <alignment/>
      <protection/>
    </xf>
    <xf numFmtId="0" fontId="2" fillId="0" borderId="0" xfId="59" applyFill="1">
      <alignment/>
      <protection/>
    </xf>
    <xf numFmtId="0" fontId="43" fillId="0" borderId="0" xfId="59" applyFont="1" applyFill="1" applyBorder="1">
      <alignment/>
      <protection/>
    </xf>
    <xf numFmtId="0" fontId="2" fillId="30" borderId="0" xfId="59" applyFill="1">
      <alignment/>
      <protection/>
    </xf>
    <xf numFmtId="0" fontId="43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181" fontId="46" fillId="0" borderId="0" xfId="59" applyNumberFormat="1" applyFont="1">
      <alignment/>
      <protection/>
    </xf>
    <xf numFmtId="3" fontId="2" fillId="0" borderId="0" xfId="59" applyNumberFormat="1">
      <alignment/>
      <protection/>
    </xf>
    <xf numFmtId="181" fontId="2" fillId="0" borderId="0" xfId="59" applyNumberFormat="1">
      <alignment/>
      <protection/>
    </xf>
    <xf numFmtId="181" fontId="8" fillId="0" borderId="50" xfId="59" applyNumberFormat="1" applyFont="1" applyBorder="1">
      <alignment/>
      <protection/>
    </xf>
    <xf numFmtId="1" fontId="8" fillId="0" borderId="0" xfId="59" applyNumberFormat="1" applyFont="1" applyFill="1" applyBorder="1">
      <alignment/>
      <protection/>
    </xf>
    <xf numFmtId="3" fontId="51" fillId="0" borderId="0" xfId="59" applyNumberFormat="1" applyFont="1" applyBorder="1">
      <alignment/>
      <protection/>
    </xf>
    <xf numFmtId="3" fontId="8" fillId="0" borderId="0" xfId="59" applyNumberFormat="1" applyFont="1" applyBorder="1">
      <alignment/>
      <protection/>
    </xf>
    <xf numFmtId="3" fontId="4" fillId="0" borderId="0" xfId="59" applyNumberFormat="1" applyFont="1" applyBorder="1">
      <alignment/>
      <protection/>
    </xf>
    <xf numFmtId="0" fontId="4" fillId="0" borderId="0" xfId="59" applyFont="1" applyBorder="1" applyAlignment="1">
      <alignment horizontal="left" wrapText="1"/>
      <protection/>
    </xf>
    <xf numFmtId="0" fontId="8" fillId="0" borderId="0" xfId="59" applyFont="1">
      <alignment/>
      <protection/>
    </xf>
    <xf numFmtId="0" fontId="4" fillId="0" borderId="0" xfId="59" applyFont="1">
      <alignment/>
      <protection/>
    </xf>
    <xf numFmtId="0" fontId="4" fillId="0" borderId="0" xfId="59" applyFont="1" applyBorder="1" applyAlignment="1">
      <alignment horizontal="center"/>
      <protection/>
    </xf>
    <xf numFmtId="0" fontId="2" fillId="0" borderId="0" xfId="59" applyAlignment="1">
      <alignment/>
      <protection/>
    </xf>
    <xf numFmtId="0" fontId="46" fillId="0" borderId="0" xfId="59" applyFont="1" applyAlignment="1">
      <alignment horizontal="left"/>
      <protection/>
    </xf>
    <xf numFmtId="0" fontId="43" fillId="0" borderId="0" xfId="59" applyFont="1" applyAlignment="1">
      <alignment horizontal="left"/>
      <protection/>
    </xf>
    <xf numFmtId="181" fontId="2" fillId="0" borderId="0" xfId="59" applyNumberFormat="1" applyBorder="1">
      <alignment/>
      <protection/>
    </xf>
    <xf numFmtId="0" fontId="54" fillId="0" borderId="0" xfId="59" applyFont="1" applyFill="1" applyBorder="1" applyAlignment="1">
      <alignment horizontal="center"/>
      <protection/>
    </xf>
    <xf numFmtId="3" fontId="54" fillId="0" borderId="0" xfId="59" applyNumberFormat="1" applyFont="1" applyFill="1" applyBorder="1" applyAlignment="1">
      <alignment horizontal="center"/>
      <protection/>
    </xf>
    <xf numFmtId="0" fontId="54" fillId="0" borderId="0" xfId="59" applyFont="1" applyFill="1" applyBorder="1" applyAlignment="1">
      <alignment horizontal="center" vertical="center"/>
      <protection/>
    </xf>
    <xf numFmtId="3" fontId="54" fillId="0" borderId="0" xfId="59" applyNumberFormat="1" applyFont="1" applyFill="1" applyBorder="1" applyAlignment="1">
      <alignment horizontal="center" vertical="center"/>
      <protection/>
    </xf>
    <xf numFmtId="0" fontId="37" fillId="0" borderId="0" xfId="59" applyFont="1" applyBorder="1" applyAlignment="1">
      <alignment/>
      <protection/>
    </xf>
    <xf numFmtId="3" fontId="48" fillId="0" borderId="0" xfId="59" applyNumberFormat="1" applyFont="1" applyFill="1">
      <alignment/>
      <protection/>
    </xf>
    <xf numFmtId="172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3" fontId="46" fillId="0" borderId="0" xfId="59" applyNumberFormat="1" applyFont="1" applyFill="1">
      <alignment/>
      <protection/>
    </xf>
    <xf numFmtId="172" fontId="46" fillId="0" borderId="0" xfId="59" applyNumberFormat="1" applyFont="1" applyFill="1">
      <alignment/>
      <protection/>
    </xf>
    <xf numFmtId="4" fontId="0" fillId="0" borderId="51" xfId="0" applyNumberForma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9" fontId="74" fillId="26" borderId="11" xfId="0" applyNumberFormat="1" applyFont="1" applyFill="1" applyBorder="1" applyAlignment="1">
      <alignment horizontal="left" vertical="center" wrapText="1"/>
    </xf>
    <xf numFmtId="49" fontId="74" fillId="27" borderId="11" xfId="0" applyNumberFormat="1" applyFont="1" applyFill="1" applyBorder="1" applyAlignment="1">
      <alignment horizontal="left" vertical="center" wrapText="1"/>
    </xf>
    <xf numFmtId="4" fontId="73" fillId="27" borderId="53" xfId="0" applyNumberFormat="1" applyFont="1" applyFill="1" applyBorder="1" applyAlignment="1">
      <alignment horizontal="right" vertical="center" wrapText="1"/>
    </xf>
    <xf numFmtId="49" fontId="74" fillId="0" borderId="11" xfId="0" applyNumberFormat="1" applyFont="1" applyFill="1" applyBorder="1" applyAlignment="1">
      <alignment horizontal="left" vertical="center" wrapText="1"/>
    </xf>
    <xf numFmtId="4" fontId="73" fillId="0" borderId="53" xfId="0" applyNumberFormat="1" applyFont="1" applyFill="1" applyBorder="1" applyAlignment="1">
      <alignment horizontal="right" vertical="center" wrapText="1"/>
    </xf>
    <xf numFmtId="4" fontId="73" fillId="26" borderId="53" xfId="0" applyNumberFormat="1" applyFont="1" applyFill="1" applyBorder="1" applyAlignment="1">
      <alignment horizontal="right" vertical="center" wrapText="1"/>
    </xf>
    <xf numFmtId="49" fontId="74" fillId="0" borderId="38" xfId="0" applyNumberFormat="1" applyFont="1" applyFill="1" applyBorder="1" applyAlignment="1">
      <alignment horizontal="left" vertical="center" wrapText="1"/>
    </xf>
    <xf numFmtId="49" fontId="73" fillId="0" borderId="34" xfId="0" applyNumberFormat="1" applyFont="1" applyFill="1" applyBorder="1" applyAlignment="1">
      <alignment horizontal="left" vertical="center" wrapText="1"/>
    </xf>
    <xf numFmtId="49" fontId="73" fillId="0" borderId="33" xfId="0" applyNumberFormat="1" applyFont="1" applyFill="1" applyBorder="1" applyAlignment="1">
      <alignment horizontal="left" vertical="center" wrapText="1"/>
    </xf>
    <xf numFmtId="4" fontId="73" fillId="0" borderId="39" xfId="0" applyNumberFormat="1" applyFont="1" applyFill="1" applyBorder="1" applyAlignment="1">
      <alignment horizontal="right" vertical="center" wrapText="1"/>
    </xf>
    <xf numFmtId="49" fontId="74" fillId="26" borderId="47" xfId="0" applyNumberFormat="1" applyFont="1" applyFill="1" applyBorder="1" applyAlignment="1">
      <alignment horizontal="left" vertical="center" wrapText="1"/>
    </xf>
    <xf numFmtId="49" fontId="73" fillId="26" borderId="46" xfId="0" applyNumberFormat="1" applyFont="1" applyFill="1" applyBorder="1" applyAlignment="1">
      <alignment horizontal="left" vertical="center" wrapText="1"/>
    </xf>
    <xf numFmtId="49" fontId="73" fillId="26" borderId="48" xfId="0" applyNumberFormat="1" applyFont="1" applyFill="1" applyBorder="1" applyAlignment="1">
      <alignment horizontal="left" vertical="center" wrapText="1"/>
    </xf>
    <xf numFmtId="49" fontId="73" fillId="31" borderId="54" xfId="0" applyNumberFormat="1" applyFont="1" applyFill="1" applyBorder="1" applyAlignment="1">
      <alignment horizontal="left" vertical="center" wrapText="1"/>
    </xf>
    <xf numFmtId="49" fontId="73" fillId="31" borderId="54" xfId="0" applyNumberFormat="1" applyFont="1" applyFill="1" applyBorder="1" applyAlignment="1">
      <alignment horizontal="center" vertical="center" wrapText="1"/>
    </xf>
    <xf numFmtId="49" fontId="73" fillId="31" borderId="30" xfId="0" applyNumberFormat="1" applyFont="1" applyFill="1" applyBorder="1" applyAlignment="1">
      <alignment horizontal="center" vertical="center" wrapText="1"/>
    </xf>
    <xf numFmtId="4" fontId="73" fillId="26" borderId="55" xfId="0" applyNumberFormat="1" applyFont="1" applyFill="1" applyBorder="1" applyAlignment="1">
      <alignment horizontal="right" vertical="center" wrapText="1"/>
    </xf>
    <xf numFmtId="0" fontId="2" fillId="0" borderId="56" xfId="66" applyFill="1" applyBorder="1" applyAlignment="1">
      <alignment horizontal="center"/>
      <protection/>
    </xf>
    <xf numFmtId="0" fontId="2" fillId="0" borderId="57" xfId="66" applyFill="1" applyBorder="1" applyAlignment="1">
      <alignment horizontal="center"/>
      <protection/>
    </xf>
    <xf numFmtId="0" fontId="5" fillId="0" borderId="18" xfId="66" applyFont="1" applyFill="1" applyBorder="1">
      <alignment/>
      <protection/>
    </xf>
    <xf numFmtId="0" fontId="5" fillId="0" borderId="22" xfId="66" applyFont="1" applyFill="1" applyBorder="1">
      <alignment/>
      <protection/>
    </xf>
    <xf numFmtId="0" fontId="5" fillId="0" borderId="58" xfId="66" applyFont="1" applyFill="1" applyBorder="1">
      <alignment/>
      <protection/>
    </xf>
    <xf numFmtId="0" fontId="5" fillId="0" borderId="58" xfId="66" applyFont="1" applyBorder="1">
      <alignment/>
      <protection/>
    </xf>
    <xf numFmtId="4" fontId="40" fillId="0" borderId="53" xfId="0" applyNumberFormat="1" applyFont="1" applyBorder="1" applyAlignment="1">
      <alignment/>
    </xf>
    <xf numFmtId="4" fontId="40" fillId="0" borderId="52" xfId="0" applyNumberFormat="1" applyFont="1" applyBorder="1" applyAlignment="1">
      <alignment/>
    </xf>
    <xf numFmtId="4" fontId="41" fillId="0" borderId="54" xfId="0" applyNumberFormat="1" applyFont="1" applyBorder="1" applyAlignment="1">
      <alignment/>
    </xf>
    <xf numFmtId="4" fontId="40" fillId="0" borderId="55" xfId="0" applyNumberFormat="1" applyFont="1" applyBorder="1" applyAlignment="1">
      <alignment/>
    </xf>
    <xf numFmtId="4" fontId="40" fillId="27" borderId="52" xfId="0" applyNumberFormat="1" applyFont="1" applyFill="1" applyBorder="1" applyAlignment="1">
      <alignment/>
    </xf>
    <xf numFmtId="4" fontId="40" fillId="0" borderId="52" xfId="0" applyNumberFormat="1" applyFont="1" applyBorder="1" applyAlignment="1">
      <alignment horizontal="right" indent="2"/>
    </xf>
    <xf numFmtId="4" fontId="40" fillId="0" borderId="59" xfId="0" applyNumberFormat="1" applyFont="1" applyFill="1" applyBorder="1" applyAlignment="1">
      <alignment/>
    </xf>
    <xf numFmtId="4" fontId="41" fillId="32" borderId="54" xfId="0" applyNumberFormat="1" applyFont="1" applyFill="1" applyBorder="1" applyAlignment="1">
      <alignment/>
    </xf>
    <xf numFmtId="4" fontId="41" fillId="0" borderId="30" xfId="0" applyNumberFormat="1" applyFont="1" applyBorder="1" applyAlignment="1">
      <alignment/>
    </xf>
    <xf numFmtId="172" fontId="0" fillId="0" borderId="40" xfId="0" applyNumberFormat="1" applyFont="1" applyFill="1" applyBorder="1" applyAlignment="1">
      <alignment/>
    </xf>
    <xf numFmtId="172" fontId="0" fillId="0" borderId="48" xfId="0" applyNumberFormat="1" applyFont="1" applyFill="1" applyBorder="1" applyAlignment="1">
      <alignment/>
    </xf>
    <xf numFmtId="172" fontId="75" fillId="0" borderId="41" xfId="50" applyNumberFormat="1" applyFont="1" applyFill="1" applyBorder="1">
      <alignment/>
      <protection/>
    </xf>
    <xf numFmtId="172" fontId="0" fillId="0" borderId="60" xfId="0" applyNumberFormat="1" applyFont="1" applyFill="1" applyBorder="1" applyAlignment="1">
      <alignment/>
    </xf>
    <xf numFmtId="172" fontId="0" fillId="0" borderId="61" xfId="0" applyNumberFormat="1" applyFont="1" applyFill="1" applyBorder="1" applyAlignment="1">
      <alignment/>
    </xf>
    <xf numFmtId="172" fontId="0" fillId="0" borderId="41" xfId="0" applyNumberFormat="1" applyFont="1" applyFill="1" applyBorder="1" applyAlignment="1">
      <alignment/>
    </xf>
    <xf numFmtId="172" fontId="0" fillId="0" borderId="62" xfId="0" applyNumberFormat="1" applyFont="1" applyFill="1" applyBorder="1" applyAlignment="1">
      <alignment/>
    </xf>
    <xf numFmtId="172" fontId="0" fillId="0" borderId="6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0" fillId="0" borderId="56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64" xfId="0" applyNumberFormat="1" applyFont="1" applyFill="1" applyBorder="1" applyAlignment="1">
      <alignment/>
    </xf>
    <xf numFmtId="172" fontId="75" fillId="0" borderId="18" xfId="50" applyNumberFormat="1" applyFont="1" applyFill="1" applyBorder="1">
      <alignment/>
      <protection/>
    </xf>
    <xf numFmtId="172" fontId="0" fillId="0" borderId="65" xfId="0" applyNumberFormat="1" applyFont="1" applyFill="1" applyBorder="1" applyAlignment="1">
      <alignment/>
    </xf>
    <xf numFmtId="172" fontId="0" fillId="0" borderId="42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76" fillId="27" borderId="66" xfId="50" applyNumberFormat="1" applyFont="1" applyFill="1" applyBorder="1">
      <alignment/>
      <protection/>
    </xf>
    <xf numFmtId="172" fontId="76" fillId="27" borderId="67" xfId="50" applyNumberFormat="1" applyFont="1" applyFill="1" applyBorder="1">
      <alignment/>
      <protection/>
    </xf>
    <xf numFmtId="172" fontId="76" fillId="27" borderId="12" xfId="50" applyNumberFormat="1" applyFont="1" applyFill="1" applyBorder="1">
      <alignment/>
      <protection/>
    </xf>
    <xf numFmtId="172" fontId="76" fillId="27" borderId="54" xfId="50" applyNumberFormat="1" applyFont="1" applyFill="1" applyBorder="1">
      <alignment/>
      <protection/>
    </xf>
    <xf numFmtId="172" fontId="76" fillId="27" borderId="24" xfId="50" applyNumberFormat="1" applyFont="1" applyFill="1" applyBorder="1">
      <alignment/>
      <protection/>
    </xf>
    <xf numFmtId="172" fontId="6" fillId="27" borderId="12" xfId="0" applyNumberFormat="1" applyFont="1" applyFill="1" applyBorder="1" applyAlignment="1">
      <alignment/>
    </xf>
    <xf numFmtId="172" fontId="6" fillId="27" borderId="23" xfId="0" applyNumberFormat="1" applyFont="1" applyFill="1" applyBorder="1" applyAlignment="1">
      <alignment/>
    </xf>
    <xf numFmtId="172" fontId="6" fillId="27" borderId="24" xfId="0" applyNumberFormat="1" applyFont="1" applyFill="1" applyBorder="1" applyAlignment="1">
      <alignment/>
    </xf>
    <xf numFmtId="172" fontId="75" fillId="0" borderId="68" xfId="50" applyNumberFormat="1" applyFont="1" applyFill="1" applyBorder="1">
      <alignment/>
      <protection/>
    </xf>
    <xf numFmtId="172" fontId="0" fillId="0" borderId="49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172" fontId="0" fillId="0" borderId="68" xfId="0" applyNumberFormat="1" applyFont="1" applyFill="1" applyBorder="1" applyAlignment="1">
      <alignment/>
    </xf>
    <xf numFmtId="172" fontId="75" fillId="0" borderId="56" xfId="50" applyNumberFormat="1" applyFont="1" applyFill="1" applyBorder="1">
      <alignment/>
      <protection/>
    </xf>
    <xf numFmtId="172" fontId="0" fillId="0" borderId="46" xfId="0" applyNumberFormat="1" applyFont="1" applyBorder="1" applyAlignment="1">
      <alignment/>
    </xf>
    <xf numFmtId="172" fontId="75" fillId="0" borderId="41" xfId="50" applyNumberFormat="1" applyFont="1" applyBorder="1">
      <alignment/>
      <protection/>
    </xf>
    <xf numFmtId="172" fontId="75" fillId="0" borderId="68" xfId="50" applyNumberFormat="1" applyFont="1" applyBorder="1">
      <alignment/>
      <protection/>
    </xf>
    <xf numFmtId="172" fontId="0" fillId="0" borderId="49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172" fontId="75" fillId="0" borderId="18" xfId="50" applyNumberFormat="1" applyFont="1" applyBorder="1">
      <alignment/>
      <protection/>
    </xf>
    <xf numFmtId="172" fontId="75" fillId="0" borderId="56" xfId="50" applyNumberFormat="1" applyFont="1" applyBorder="1">
      <alignment/>
      <protection/>
    </xf>
    <xf numFmtId="172" fontId="0" fillId="0" borderId="18" xfId="0" applyNumberFormat="1" applyFont="1" applyBorder="1" applyAlignment="1">
      <alignment/>
    </xf>
    <xf numFmtId="172" fontId="75" fillId="0" borderId="16" xfId="50" applyNumberFormat="1" applyFont="1" applyBorder="1">
      <alignment/>
      <protection/>
    </xf>
    <xf numFmtId="172" fontId="75" fillId="0" borderId="57" xfId="50" applyNumberFormat="1" applyFont="1" applyBorder="1">
      <alignment/>
      <protection/>
    </xf>
    <xf numFmtId="172" fontId="0" fillId="0" borderId="22" xfId="0" applyNumberFormat="1" applyFont="1" applyBorder="1" applyAlignment="1">
      <alignment/>
    </xf>
    <xf numFmtId="172" fontId="0" fillId="0" borderId="65" xfId="0" applyNumberFormat="1" applyFont="1" applyBorder="1" applyAlignment="1">
      <alignment/>
    </xf>
    <xf numFmtId="172" fontId="75" fillId="0" borderId="61" xfId="50" applyNumberFormat="1" applyFont="1" applyFill="1" applyBorder="1">
      <alignment/>
      <protection/>
    </xf>
    <xf numFmtId="172" fontId="0" fillId="0" borderId="68" xfId="0" applyNumberFormat="1" applyFont="1" applyBorder="1" applyAlignment="1">
      <alignment horizontal="left"/>
    </xf>
    <xf numFmtId="172" fontId="0" fillId="0" borderId="48" xfId="0" applyNumberFormat="1" applyFont="1" applyBorder="1" applyAlignment="1">
      <alignment horizontal="left"/>
    </xf>
    <xf numFmtId="172" fontId="75" fillId="0" borderId="61" xfId="50" applyNumberFormat="1" applyFont="1" applyBorder="1">
      <alignment/>
      <protection/>
    </xf>
    <xf numFmtId="172" fontId="0" fillId="0" borderId="41" xfId="0" applyNumberFormat="1" applyFont="1" applyBorder="1" applyAlignment="1">
      <alignment/>
    </xf>
    <xf numFmtId="172" fontId="6" fillId="27" borderId="69" xfId="0" applyNumberFormat="1" applyFont="1" applyFill="1" applyBorder="1" applyAlignment="1">
      <alignment/>
    </xf>
    <xf numFmtId="172" fontId="6" fillId="27" borderId="70" xfId="0" applyNumberFormat="1" applyFont="1" applyFill="1" applyBorder="1" applyAlignment="1">
      <alignment/>
    </xf>
    <xf numFmtId="172" fontId="76" fillId="27" borderId="0" xfId="50" applyNumberFormat="1" applyFont="1" applyFill="1" applyBorder="1">
      <alignment/>
      <protection/>
    </xf>
    <xf numFmtId="172" fontId="75" fillId="0" borderId="49" xfId="50" applyNumberFormat="1" applyFont="1" applyFill="1" applyBorder="1">
      <alignment/>
      <protection/>
    </xf>
    <xf numFmtId="172" fontId="0" fillId="33" borderId="19" xfId="0" applyNumberFormat="1" applyFont="1" applyFill="1" applyBorder="1" applyAlignment="1">
      <alignment/>
    </xf>
    <xf numFmtId="172" fontId="0" fillId="33" borderId="56" xfId="0" applyNumberFormat="1" applyFont="1" applyFill="1" applyBorder="1" applyAlignment="1">
      <alignment/>
    </xf>
    <xf numFmtId="172" fontId="0" fillId="33" borderId="18" xfId="0" applyNumberFormat="1" applyFont="1" applyFill="1" applyBorder="1" applyAlignment="1">
      <alignment/>
    </xf>
    <xf numFmtId="172" fontId="0" fillId="33" borderId="20" xfId="0" applyNumberFormat="1" applyFont="1" applyFill="1" applyBorder="1" applyAlignment="1">
      <alignment/>
    </xf>
    <xf numFmtId="172" fontId="0" fillId="33" borderId="64" xfId="0" applyNumberFormat="1" applyFont="1" applyFill="1" applyBorder="1" applyAlignment="1">
      <alignment/>
    </xf>
    <xf numFmtId="172" fontId="75" fillId="33" borderId="18" xfId="50" applyNumberFormat="1" applyFont="1" applyFill="1" applyBorder="1">
      <alignment/>
      <protection/>
    </xf>
    <xf numFmtId="0" fontId="0" fillId="0" borderId="11" xfId="0" applyFont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" fontId="0" fillId="0" borderId="45" xfId="0" applyNumberFormat="1" applyBorder="1" applyAlignment="1">
      <alignment/>
    </xf>
    <xf numFmtId="172" fontId="75" fillId="33" borderId="56" xfId="50" applyNumberFormat="1" applyFont="1" applyFill="1" applyBorder="1">
      <alignment/>
      <protection/>
    </xf>
    <xf numFmtId="172" fontId="0" fillId="0" borderId="34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172" fontId="76" fillId="27" borderId="65" xfId="50" applyNumberFormat="1" applyFont="1" applyFill="1" applyBorder="1">
      <alignment/>
      <protection/>
    </xf>
    <xf numFmtId="172" fontId="6" fillId="27" borderId="65" xfId="0" applyNumberFormat="1" applyFont="1" applyFill="1" applyBorder="1" applyAlignment="1">
      <alignment/>
    </xf>
    <xf numFmtId="172" fontId="6" fillId="27" borderId="42" xfId="0" applyNumberFormat="1" applyFont="1" applyFill="1" applyBorder="1" applyAlignment="1">
      <alignment/>
    </xf>
    <xf numFmtId="172" fontId="6" fillId="27" borderId="0" xfId="0" applyNumberFormat="1" applyFont="1" applyFill="1" applyBorder="1" applyAlignment="1">
      <alignment/>
    </xf>
    <xf numFmtId="4" fontId="73" fillId="0" borderId="25" xfId="0" applyNumberFormat="1" applyFont="1" applyFill="1" applyBorder="1" applyAlignment="1">
      <alignment horizontal="right" vertical="center" wrapText="1"/>
    </xf>
    <xf numFmtId="4" fontId="73" fillId="26" borderId="46" xfId="0" applyNumberFormat="1" applyFont="1" applyFill="1" applyBorder="1" applyAlignment="1">
      <alignment horizontal="right" vertical="center" wrapText="1"/>
    </xf>
    <xf numFmtId="4" fontId="73" fillId="27" borderId="25" xfId="0" applyNumberFormat="1" applyFont="1" applyFill="1" applyBorder="1" applyAlignment="1">
      <alignment horizontal="right" vertical="center" wrapText="1"/>
    </xf>
    <xf numFmtId="4" fontId="73" fillId="29" borderId="25" xfId="0" applyNumberFormat="1" applyFont="1" applyFill="1" applyBorder="1" applyAlignment="1">
      <alignment horizontal="right" vertical="center" wrapText="1"/>
    </xf>
    <xf numFmtId="4" fontId="73" fillId="26" borderId="25" xfId="0" applyNumberFormat="1" applyFont="1" applyFill="1" applyBorder="1" applyAlignment="1">
      <alignment horizontal="right" vertical="center" wrapText="1"/>
    </xf>
    <xf numFmtId="4" fontId="73" fillId="0" borderId="34" xfId="0" applyNumberFormat="1" applyFont="1" applyFill="1" applyBorder="1" applyAlignment="1">
      <alignment horizontal="right" vertical="center" wrapText="1"/>
    </xf>
    <xf numFmtId="49" fontId="74" fillId="0" borderId="25" xfId="0" applyNumberFormat="1" applyFont="1" applyFill="1" applyBorder="1" applyAlignment="1">
      <alignment horizontal="left" vertical="center" wrapText="1"/>
    </xf>
    <xf numFmtId="4" fontId="2" fillId="0" borderId="0" xfId="67" applyNumberFormat="1">
      <alignment/>
      <protection/>
    </xf>
    <xf numFmtId="4" fontId="0" fillId="0" borderId="25" xfId="0" applyNumberForma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/>
    </xf>
    <xf numFmtId="4" fontId="0" fillId="24" borderId="25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24" borderId="25" xfId="0" applyNumberFormat="1" applyFill="1" applyBorder="1" applyAlignment="1">
      <alignment horizontal="right"/>
    </xf>
    <xf numFmtId="4" fontId="0" fillId="0" borderId="53" xfId="0" applyNumberFormat="1" applyFill="1" applyBorder="1" applyAlignment="1">
      <alignment horizontal="right"/>
    </xf>
    <xf numFmtId="4" fontId="6" fillId="0" borderId="58" xfId="0" applyNumberFormat="1" applyFont="1" applyBorder="1" applyAlignment="1">
      <alignment/>
    </xf>
    <xf numFmtId="4" fontId="12" fillId="17" borderId="25" xfId="69" applyNumberFormat="1" applyFont="1" applyFill="1" applyBorder="1">
      <alignment/>
      <protection/>
    </xf>
    <xf numFmtId="4" fontId="12" fillId="0" borderId="25" xfId="69" applyNumberFormat="1" applyFont="1" applyFill="1" applyBorder="1">
      <alignment/>
      <protection/>
    </xf>
    <xf numFmtId="4" fontId="4" fillId="0" borderId="54" xfId="69" applyNumberFormat="1" applyFont="1" applyBorder="1">
      <alignment/>
      <protection/>
    </xf>
    <xf numFmtId="4" fontId="2" fillId="4" borderId="46" xfId="69" applyNumberFormat="1" applyFont="1" applyFill="1" applyBorder="1">
      <alignment/>
      <protection/>
    </xf>
    <xf numFmtId="4" fontId="2" fillId="0" borderId="46" xfId="69" applyNumberFormat="1" applyFont="1" applyFill="1" applyBorder="1">
      <alignment/>
      <protection/>
    </xf>
    <xf numFmtId="4" fontId="2" fillId="4" borderId="25" xfId="69" applyNumberFormat="1" applyFont="1" applyFill="1" applyBorder="1">
      <alignment/>
      <protection/>
    </xf>
    <xf numFmtId="4" fontId="2" fillId="0" borderId="25" xfId="69" applyNumberFormat="1" applyFont="1" applyFill="1" applyBorder="1">
      <alignment/>
      <protection/>
    </xf>
    <xf numFmtId="4" fontId="2" fillId="4" borderId="52" xfId="69" applyNumberFormat="1" applyFont="1" applyFill="1" applyBorder="1">
      <alignment/>
      <protection/>
    </xf>
    <xf numFmtId="4" fontId="4" fillId="4" borderId="54" xfId="69" applyNumberFormat="1" applyFont="1" applyFill="1" applyBorder="1">
      <alignment/>
      <protection/>
    </xf>
    <xf numFmtId="4" fontId="73" fillId="29" borderId="19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/>
    </xf>
    <xf numFmtId="4" fontId="17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0" fillId="28" borderId="25" xfId="0" applyNumberFormat="1" applyFill="1" applyBorder="1" applyAlignment="1">
      <alignment/>
    </xf>
    <xf numFmtId="4" fontId="17" fillId="28" borderId="25" xfId="0" applyNumberFormat="1" applyFont="1" applyFill="1" applyBorder="1" applyAlignment="1">
      <alignment/>
    </xf>
    <xf numFmtId="4" fontId="6" fillId="28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0" borderId="25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/>
    </xf>
    <xf numFmtId="4" fontId="33" fillId="0" borderId="25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2" fillId="0" borderId="53" xfId="66" applyNumberFormat="1" applyBorder="1" applyAlignment="1">
      <alignment/>
      <protection/>
    </xf>
    <xf numFmtId="4" fontId="2" fillId="24" borderId="53" xfId="66" applyNumberFormat="1" applyFill="1" applyBorder="1" applyAlignment="1">
      <alignment/>
      <protection/>
    </xf>
    <xf numFmtId="4" fontId="2" fillId="0" borderId="53" xfId="66" applyNumberFormat="1" applyFill="1" applyBorder="1" applyAlignment="1">
      <alignment/>
      <protection/>
    </xf>
    <xf numFmtId="4" fontId="5" fillId="0" borderId="15" xfId="66" applyNumberFormat="1" applyFont="1" applyFill="1" applyBorder="1" applyAlignment="1">
      <alignment/>
      <protection/>
    </xf>
    <xf numFmtId="4" fontId="2" fillId="0" borderId="0" xfId="66" applyNumberFormat="1" applyFill="1" applyAlignment="1">
      <alignment/>
      <protection/>
    </xf>
    <xf numFmtId="4" fontId="2" fillId="0" borderId="59" xfId="66" applyNumberFormat="1" applyFill="1" applyBorder="1" applyAlignment="1">
      <alignment/>
      <protection/>
    </xf>
    <xf numFmtId="4" fontId="2" fillId="24" borderId="11" xfId="66" applyNumberFormat="1" applyFill="1" applyBorder="1">
      <alignment/>
      <protection/>
    </xf>
    <xf numFmtId="4" fontId="2" fillId="0" borderId="71" xfId="66" applyNumberFormat="1" applyFill="1" applyBorder="1" applyAlignment="1">
      <alignment/>
      <protection/>
    </xf>
    <xf numFmtId="4" fontId="2" fillId="0" borderId="0" xfId="66" applyNumberFormat="1" applyAlignment="1">
      <alignment/>
      <protection/>
    </xf>
    <xf numFmtId="4" fontId="2" fillId="0" borderId="46" xfId="66" applyNumberFormat="1" applyFill="1" applyBorder="1">
      <alignment/>
      <protection/>
    </xf>
    <xf numFmtId="4" fontId="2" fillId="0" borderId="55" xfId="66" applyNumberFormat="1" applyFill="1" applyBorder="1">
      <alignment/>
      <protection/>
    </xf>
    <xf numFmtId="4" fontId="2" fillId="0" borderId="25" xfId="66" applyNumberFormat="1" applyFill="1" applyBorder="1">
      <alignment/>
      <protection/>
    </xf>
    <xf numFmtId="4" fontId="2" fillId="0" borderId="53" xfId="66" applyNumberFormat="1" applyFill="1" applyBorder="1">
      <alignment/>
      <protection/>
    </xf>
    <xf numFmtId="4" fontId="2" fillId="0" borderId="52" xfId="66" applyNumberFormat="1" applyFill="1" applyBorder="1">
      <alignment/>
      <protection/>
    </xf>
    <xf numFmtId="4" fontId="0" fillId="0" borderId="25" xfId="66" applyNumberFormat="1" applyFont="1" applyFill="1" applyBorder="1">
      <alignment/>
      <protection/>
    </xf>
    <xf numFmtId="4" fontId="2" fillId="0" borderId="59" xfId="66" applyNumberFormat="1" applyFill="1" applyBorder="1">
      <alignment/>
      <protection/>
    </xf>
    <xf numFmtId="4" fontId="2" fillId="0" borderId="0" xfId="66" applyNumberFormat="1" applyFill="1">
      <alignment/>
      <protection/>
    </xf>
    <xf numFmtId="4" fontId="2" fillId="0" borderId="23" xfId="66" applyNumberFormat="1" applyFill="1" applyBorder="1">
      <alignment/>
      <protection/>
    </xf>
    <xf numFmtId="4" fontId="5" fillId="0" borderId="24" xfId="66" applyNumberFormat="1" applyFont="1" applyFill="1" applyBorder="1">
      <alignment/>
      <protection/>
    </xf>
    <xf numFmtId="4" fontId="2" fillId="0" borderId="15" xfId="66" applyNumberFormat="1" applyFill="1" applyBorder="1">
      <alignment/>
      <protection/>
    </xf>
    <xf numFmtId="4" fontId="5" fillId="0" borderId="47" xfId="66" applyNumberFormat="1" applyFont="1" applyFill="1" applyBorder="1">
      <alignment/>
      <protection/>
    </xf>
    <xf numFmtId="4" fontId="5" fillId="0" borderId="11" xfId="66" applyNumberFormat="1" applyFont="1" applyFill="1" applyBorder="1">
      <alignment/>
      <protection/>
    </xf>
    <xf numFmtId="4" fontId="2" fillId="0" borderId="47" xfId="66" applyNumberFormat="1" applyBorder="1">
      <alignment/>
      <protection/>
    </xf>
    <xf numFmtId="4" fontId="2" fillId="0" borderId="72" xfId="66" applyNumberFormat="1" applyBorder="1">
      <alignment/>
      <protection/>
    </xf>
    <xf numFmtId="4" fontId="2" fillId="0" borderId="11" xfId="66" applyNumberFormat="1" applyBorder="1">
      <alignment/>
      <protection/>
    </xf>
    <xf numFmtId="4" fontId="2" fillId="0" borderId="64" xfId="66" applyNumberFormat="1" applyBorder="1">
      <alignment/>
      <protection/>
    </xf>
    <xf numFmtId="4" fontId="5" fillId="0" borderId="12" xfId="66" applyNumberFormat="1" applyFont="1" applyBorder="1" applyAlignment="1">
      <alignment horizontal="right"/>
      <protection/>
    </xf>
    <xf numFmtId="4" fontId="5" fillId="0" borderId="12" xfId="66" applyNumberFormat="1" applyFont="1" applyBorder="1">
      <alignment/>
      <protection/>
    </xf>
    <xf numFmtId="4" fontId="2" fillId="0" borderId="68" xfId="66" applyNumberFormat="1" applyBorder="1">
      <alignment/>
      <protection/>
    </xf>
    <xf numFmtId="4" fontId="2" fillId="0" borderId="56" xfId="66" applyNumberFormat="1" applyBorder="1">
      <alignment/>
      <protection/>
    </xf>
    <xf numFmtId="4" fontId="2" fillId="0" borderId="57" xfId="66" applyNumberFormat="1" applyBorder="1">
      <alignment/>
      <protection/>
    </xf>
    <xf numFmtId="4" fontId="5" fillId="0" borderId="23" xfId="66" applyNumberFormat="1" applyFont="1" applyBorder="1" applyAlignment="1">
      <alignment horizontal="right"/>
      <protection/>
    </xf>
    <xf numFmtId="4" fontId="5" fillId="0" borderId="24" xfId="66" applyNumberFormat="1" applyFont="1" applyBorder="1">
      <alignment/>
      <protection/>
    </xf>
    <xf numFmtId="4" fontId="2" fillId="0" borderId="72" xfId="66" applyNumberFormat="1" applyFont="1" applyBorder="1">
      <alignment/>
      <protection/>
    </xf>
    <xf numFmtId="4" fontId="2" fillId="0" borderId="73" xfId="66" applyNumberFormat="1" applyBorder="1">
      <alignment/>
      <protection/>
    </xf>
    <xf numFmtId="4" fontId="2" fillId="0" borderId="11" xfId="66" applyNumberFormat="1" applyFill="1" applyBorder="1">
      <alignment/>
      <protection/>
    </xf>
    <xf numFmtId="4" fontId="2" fillId="0" borderId="47" xfId="66" applyNumberFormat="1" applyBorder="1" applyAlignment="1">
      <alignment horizontal="right"/>
      <protection/>
    </xf>
    <xf numFmtId="4" fontId="2" fillId="0" borderId="55" xfId="66" applyNumberFormat="1" applyFont="1" applyBorder="1">
      <alignment/>
      <protection/>
    </xf>
    <xf numFmtId="4" fontId="2" fillId="0" borderId="11" xfId="66" applyNumberFormat="1" applyBorder="1" applyAlignment="1">
      <alignment horizontal="right"/>
      <protection/>
    </xf>
    <xf numFmtId="4" fontId="2" fillId="0" borderId="53" xfId="66" applyNumberFormat="1" applyFont="1" applyBorder="1">
      <alignment/>
      <protection/>
    </xf>
    <xf numFmtId="4" fontId="0" fillId="0" borderId="74" xfId="0" applyNumberFormat="1" applyBorder="1" applyAlignment="1">
      <alignment/>
    </xf>
    <xf numFmtId="4" fontId="0" fillId="0" borderId="75" xfId="0" applyNumberFormat="1" applyBorder="1" applyAlignment="1">
      <alignment/>
    </xf>
    <xf numFmtId="4" fontId="0" fillId="28" borderId="25" xfId="0" applyNumberFormat="1" applyFont="1" applyFill="1" applyBorder="1" applyAlignment="1">
      <alignment/>
    </xf>
    <xf numFmtId="4" fontId="2" fillId="25" borderId="46" xfId="69" applyNumberFormat="1" applyFont="1" applyFill="1" applyBorder="1">
      <alignment/>
      <protection/>
    </xf>
    <xf numFmtId="4" fontId="2" fillId="25" borderId="25" xfId="69" applyNumberFormat="1" applyFont="1" applyFill="1" applyBorder="1">
      <alignment/>
      <protection/>
    </xf>
    <xf numFmtId="4" fontId="2" fillId="25" borderId="52" xfId="69" applyNumberFormat="1" applyFont="1" applyFill="1" applyBorder="1">
      <alignment/>
      <protection/>
    </xf>
    <xf numFmtId="0" fontId="6" fillId="0" borderId="41" xfId="0" applyFont="1" applyBorder="1" applyAlignment="1">
      <alignment horizontal="center" textRotation="90" wrapText="1"/>
    </xf>
    <xf numFmtId="0" fontId="6" fillId="0" borderId="76" xfId="0" applyFont="1" applyBorder="1" applyAlignment="1">
      <alignment horizontal="center" textRotation="90" wrapText="1"/>
    </xf>
    <xf numFmtId="0" fontId="6" fillId="0" borderId="60" xfId="0" applyFont="1" applyBorder="1" applyAlignment="1">
      <alignment horizontal="center" textRotation="90" wrapText="1"/>
    </xf>
    <xf numFmtId="0" fontId="6" fillId="0" borderId="77" xfId="0" applyFont="1" applyBorder="1" applyAlignment="1">
      <alignment horizontal="center" textRotation="90" wrapText="1"/>
    </xf>
    <xf numFmtId="0" fontId="6" fillId="24" borderId="77" xfId="0" applyFont="1" applyFill="1" applyBorder="1" applyAlignment="1">
      <alignment horizontal="center" textRotation="90" wrapText="1"/>
    </xf>
    <xf numFmtId="0" fontId="6" fillId="0" borderId="41" xfId="0" applyFont="1" applyFill="1" applyBorder="1" applyAlignment="1">
      <alignment horizontal="center" textRotation="90" wrapText="1"/>
    </xf>
    <xf numFmtId="0" fontId="6" fillId="0" borderId="62" xfId="0" applyFont="1" applyFill="1" applyBorder="1" applyAlignment="1">
      <alignment horizontal="center" textRotation="90" wrapText="1"/>
    </xf>
    <xf numFmtId="0" fontId="6" fillId="0" borderId="61" xfId="0" applyFont="1" applyFill="1" applyBorder="1" applyAlignment="1">
      <alignment horizontal="center" textRotation="90" wrapText="1"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Font="1" applyAlignment="1">
      <alignment horizontal="left" vertical="top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 vertical="top"/>
    </xf>
    <xf numFmtId="0" fontId="5" fillId="0" borderId="30" xfId="69" applyFont="1" applyBorder="1" applyAlignment="1">
      <alignment horizontal="center" vertical="center" wrapText="1"/>
      <protection/>
    </xf>
    <xf numFmtId="0" fontId="5" fillId="0" borderId="30" xfId="69" applyFont="1" applyBorder="1" applyAlignment="1">
      <alignment horizontal="center"/>
      <protection/>
    </xf>
    <xf numFmtId="0" fontId="5" fillId="0" borderId="29" xfId="69" applyFont="1" applyBorder="1" applyAlignment="1">
      <alignment horizontal="center" vertical="center" wrapText="1"/>
      <protection/>
    </xf>
    <xf numFmtId="0" fontId="5" fillId="4" borderId="54" xfId="69" applyFont="1" applyFill="1" applyBorder="1" applyAlignment="1">
      <alignment horizontal="center" vertical="center" wrapText="1"/>
      <protection/>
    </xf>
    <xf numFmtId="0" fontId="5" fillId="0" borderId="54" xfId="69" applyFont="1" applyBorder="1" applyAlignment="1">
      <alignment horizontal="center" vertical="center" wrapText="1"/>
      <protection/>
    </xf>
    <xf numFmtId="0" fontId="5" fillId="4" borderId="54" xfId="69" applyFont="1" applyFill="1" applyBorder="1" applyAlignment="1">
      <alignment horizontal="center"/>
      <protection/>
    </xf>
    <xf numFmtId="0" fontId="5" fillId="0" borderId="54" xfId="69" applyFont="1" applyBorder="1" applyAlignment="1">
      <alignment horizontal="center"/>
      <protection/>
    </xf>
    <xf numFmtId="0" fontId="5" fillId="25" borderId="54" xfId="69" applyFont="1" applyFill="1" applyBorder="1" applyAlignment="1">
      <alignment horizontal="center" vertical="center" wrapText="1"/>
      <protection/>
    </xf>
    <xf numFmtId="0" fontId="5" fillId="25" borderId="54" xfId="69" applyFont="1" applyFill="1" applyBorder="1" applyAlignment="1">
      <alignment horizontal="center"/>
      <protection/>
    </xf>
    <xf numFmtId="4" fontId="4" fillId="0" borderId="54" xfId="69" applyNumberFormat="1" applyFont="1" applyFill="1" applyBorder="1">
      <alignment/>
      <protection/>
    </xf>
    <xf numFmtId="4" fontId="4" fillId="25" borderId="54" xfId="69" applyNumberFormat="1" applyFont="1" applyFill="1" applyBorder="1">
      <alignment/>
      <protection/>
    </xf>
    <xf numFmtId="4" fontId="0" fillId="0" borderId="48" xfId="0" applyNumberFormat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78" xfId="0" applyNumberForma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2" fillId="0" borderId="64" xfId="66" applyNumberFormat="1" applyBorder="1" applyAlignment="1">
      <alignment/>
      <protection/>
    </xf>
    <xf numFmtId="4" fontId="2" fillId="24" borderId="64" xfId="66" applyNumberFormat="1" applyFill="1" applyBorder="1" applyAlignment="1">
      <alignment/>
      <protection/>
    </xf>
    <xf numFmtId="4" fontId="2" fillId="0" borderId="64" xfId="66" applyNumberFormat="1" applyFill="1" applyBorder="1" applyAlignment="1">
      <alignment/>
      <protection/>
    </xf>
    <xf numFmtId="0" fontId="5" fillId="0" borderId="79" xfId="66" applyFont="1" applyBorder="1" applyAlignment="1">
      <alignment horizontal="center"/>
      <protection/>
    </xf>
    <xf numFmtId="0" fontId="5" fillId="0" borderId="80" xfId="66" applyFont="1" applyBorder="1" applyAlignment="1">
      <alignment horizontal="center"/>
      <protection/>
    </xf>
    <xf numFmtId="4" fontId="2" fillId="0" borderId="11" xfId="66" applyNumberFormat="1" applyBorder="1" applyAlignment="1">
      <alignment/>
      <protection/>
    </xf>
    <xf numFmtId="4" fontId="2" fillId="24" borderId="11" xfId="66" applyNumberFormat="1" applyFill="1" applyBorder="1" applyAlignment="1">
      <alignment/>
      <protection/>
    </xf>
    <xf numFmtId="4" fontId="2" fillId="0" borderId="11" xfId="66" applyNumberFormat="1" applyFill="1" applyBorder="1" applyAlignment="1">
      <alignment/>
      <protection/>
    </xf>
    <xf numFmtId="4" fontId="5" fillId="0" borderId="29" xfId="66" applyNumberFormat="1" applyFont="1" applyFill="1" applyBorder="1" applyAlignment="1">
      <alignment/>
      <protection/>
    </xf>
    <xf numFmtId="4" fontId="5" fillId="0" borderId="30" xfId="66" applyNumberFormat="1" applyFont="1" applyFill="1" applyBorder="1" applyAlignment="1">
      <alignment/>
      <protection/>
    </xf>
    <xf numFmtId="4" fontId="2" fillId="0" borderId="73" xfId="66" applyNumberFormat="1" applyFill="1" applyBorder="1" applyAlignment="1">
      <alignment/>
      <protection/>
    </xf>
    <xf numFmtId="4" fontId="5" fillId="0" borderId="15" xfId="66" applyNumberFormat="1" applyFont="1" applyFill="1" applyBorder="1" applyAlignment="1">
      <alignment/>
      <protection/>
    </xf>
    <xf numFmtId="4" fontId="2" fillId="24" borderId="53" xfId="66" applyNumberFormat="1" applyFill="1" applyBorder="1">
      <alignment/>
      <protection/>
    </xf>
    <xf numFmtId="4" fontId="5" fillId="0" borderId="29" xfId="66" applyNumberFormat="1" applyFont="1" applyFill="1" applyBorder="1" applyAlignment="1">
      <alignment/>
      <protection/>
    </xf>
    <xf numFmtId="4" fontId="5" fillId="0" borderId="30" xfId="66" applyNumberFormat="1" applyFont="1" applyFill="1" applyBorder="1" applyAlignment="1">
      <alignment/>
      <protection/>
    </xf>
    <xf numFmtId="4" fontId="5" fillId="24" borderId="15" xfId="66" applyNumberFormat="1" applyFont="1" applyFill="1" applyBorder="1" applyAlignment="1">
      <alignment/>
      <protection/>
    </xf>
    <xf numFmtId="4" fontId="2" fillId="24" borderId="59" xfId="66" applyNumberFormat="1" applyFill="1" applyBorder="1" applyAlignment="1">
      <alignment/>
      <protection/>
    </xf>
    <xf numFmtId="4" fontId="5" fillId="24" borderId="29" xfId="66" applyNumberFormat="1" applyFont="1" applyFill="1" applyBorder="1" applyAlignment="1">
      <alignment/>
      <protection/>
    </xf>
    <xf numFmtId="4" fontId="5" fillId="24" borderId="30" xfId="66" applyNumberFormat="1" applyFont="1" applyFill="1" applyBorder="1" applyAlignment="1">
      <alignment/>
      <protection/>
    </xf>
    <xf numFmtId="4" fontId="2" fillId="0" borderId="19" xfId="66" applyNumberFormat="1" applyFont="1" applyFill="1" applyBorder="1" applyAlignment="1">
      <alignment/>
      <protection/>
    </xf>
    <xf numFmtId="4" fontId="5" fillId="0" borderId="15" xfId="66" applyNumberFormat="1" applyFont="1" applyBorder="1" applyAlignment="1">
      <alignment/>
      <protection/>
    </xf>
    <xf numFmtId="4" fontId="2" fillId="0" borderId="11" xfId="66" applyNumberFormat="1" applyFont="1" applyBorder="1" applyAlignment="1">
      <alignment/>
      <protection/>
    </xf>
    <xf numFmtId="4" fontId="2" fillId="0" borderId="53" xfId="66" applyNumberFormat="1" applyFont="1" applyBorder="1" applyAlignment="1">
      <alignment/>
      <protection/>
    </xf>
    <xf numFmtId="4" fontId="2" fillId="0" borderId="11" xfId="66" applyNumberFormat="1" applyFont="1" applyFill="1" applyBorder="1" applyAlignment="1">
      <alignment/>
      <protection/>
    </xf>
    <xf numFmtId="4" fontId="5" fillId="0" borderId="29" xfId="66" applyNumberFormat="1" applyFont="1" applyBorder="1" applyAlignment="1">
      <alignment/>
      <protection/>
    </xf>
    <xf numFmtId="4" fontId="5" fillId="0" borderId="30" xfId="66" applyNumberFormat="1" applyFont="1" applyBorder="1" applyAlignment="1">
      <alignment/>
      <protection/>
    </xf>
    <xf numFmtId="0" fontId="2" fillId="0" borderId="23" xfId="66" applyFill="1" applyBorder="1" applyAlignment="1">
      <alignment horizontal="center"/>
      <protection/>
    </xf>
    <xf numFmtId="0" fontId="5" fillId="0" borderId="81" xfId="66" applyFont="1" applyFill="1" applyBorder="1" applyAlignment="1">
      <alignment horizontal="center"/>
      <protection/>
    </xf>
    <xf numFmtId="0" fontId="5" fillId="0" borderId="60" xfId="66" applyFont="1" applyFill="1" applyBorder="1" applyAlignment="1">
      <alignment horizontal="center"/>
      <protection/>
    </xf>
    <xf numFmtId="0" fontId="5" fillId="0" borderId="82" xfId="66" applyFont="1" applyFill="1" applyBorder="1" applyAlignment="1">
      <alignment horizontal="center"/>
      <protection/>
    </xf>
    <xf numFmtId="4" fontId="2" fillId="0" borderId="47" xfId="66" applyNumberFormat="1" applyFill="1" applyBorder="1">
      <alignment/>
      <protection/>
    </xf>
    <xf numFmtId="4" fontId="2" fillId="0" borderId="71" xfId="66" applyNumberFormat="1" applyFill="1" applyBorder="1">
      <alignment/>
      <protection/>
    </xf>
    <xf numFmtId="4" fontId="0" fillId="0" borderId="11" xfId="0" applyNumberFormat="1" applyFont="1" applyFill="1" applyBorder="1" applyAlignment="1">
      <alignment/>
    </xf>
    <xf numFmtId="4" fontId="34" fillId="0" borderId="55" xfId="0" applyNumberFormat="1" applyFont="1" applyFill="1" applyBorder="1" applyAlignment="1">
      <alignment/>
    </xf>
    <xf numFmtId="4" fontId="5" fillId="0" borderId="29" xfId="66" applyNumberFormat="1" applyFont="1" applyFill="1" applyBorder="1">
      <alignment/>
      <protection/>
    </xf>
    <xf numFmtId="4" fontId="5" fillId="0" borderId="54" xfId="66" applyNumberFormat="1" applyFont="1" applyFill="1" applyBorder="1">
      <alignment/>
      <protection/>
    </xf>
    <xf numFmtId="4" fontId="5" fillId="0" borderId="30" xfId="66" applyNumberFormat="1" applyFont="1" applyFill="1" applyBorder="1">
      <alignment/>
      <protection/>
    </xf>
    <xf numFmtId="4" fontId="5" fillId="0" borderId="29" xfId="66" applyNumberFormat="1" applyFont="1" applyFill="1" applyBorder="1" applyAlignment="1">
      <alignment horizontal="center" vertical="center" wrapText="1"/>
      <protection/>
    </xf>
    <xf numFmtId="4" fontId="5" fillId="0" borderId="54" xfId="66" applyNumberFormat="1" applyFont="1" applyFill="1" applyBorder="1" applyAlignment="1">
      <alignment horizontal="center" vertical="center" wrapText="1"/>
      <protection/>
    </xf>
    <xf numFmtId="4" fontId="5" fillId="0" borderId="30" xfId="66" applyNumberFormat="1" applyFont="1" applyFill="1" applyBorder="1" applyAlignment="1">
      <alignment horizontal="center" vertical="center" wrapText="1"/>
      <protection/>
    </xf>
    <xf numFmtId="3" fontId="5" fillId="0" borderId="81" xfId="66" applyNumberFormat="1" applyFont="1" applyFill="1" applyBorder="1" applyAlignment="1">
      <alignment horizontal="center"/>
      <protection/>
    </xf>
    <xf numFmtId="3" fontId="5" fillId="0" borderId="60" xfId="66" applyNumberFormat="1" applyFont="1" applyFill="1" applyBorder="1" applyAlignment="1">
      <alignment horizontal="center"/>
      <protection/>
    </xf>
    <xf numFmtId="3" fontId="5" fillId="0" borderId="82" xfId="66" applyNumberFormat="1" applyFont="1" applyFill="1" applyBorder="1" applyAlignment="1">
      <alignment horizontal="center"/>
      <protection/>
    </xf>
    <xf numFmtId="4" fontId="34" fillId="0" borderId="11" xfId="0" applyNumberFormat="1" applyFont="1" applyFill="1" applyBorder="1" applyAlignment="1">
      <alignment/>
    </xf>
    <xf numFmtId="4" fontId="5" fillId="0" borderId="46" xfId="66" applyNumberFormat="1" applyFont="1" applyFill="1" applyBorder="1">
      <alignment/>
      <protection/>
    </xf>
    <xf numFmtId="4" fontId="5" fillId="0" borderId="55" xfId="66" applyNumberFormat="1" applyFont="1" applyFill="1" applyBorder="1">
      <alignment/>
      <protection/>
    </xf>
    <xf numFmtId="4" fontId="5" fillId="0" borderId="25" xfId="66" applyNumberFormat="1" applyFont="1" applyFill="1" applyBorder="1">
      <alignment/>
      <protection/>
    </xf>
    <xf numFmtId="4" fontId="5" fillId="0" borderId="53" xfId="66" applyNumberFormat="1" applyFont="1" applyFill="1" applyBorder="1">
      <alignment/>
      <protection/>
    </xf>
    <xf numFmtId="4" fontId="5" fillId="0" borderId="29" xfId="66" applyNumberFormat="1" applyFont="1" applyBorder="1" applyAlignment="1">
      <alignment horizontal="right"/>
      <protection/>
    </xf>
    <xf numFmtId="0" fontId="2" fillId="0" borderId="18" xfId="66" applyBorder="1" applyAlignment="1">
      <alignment/>
      <protection/>
    </xf>
    <xf numFmtId="0" fontId="2" fillId="0" borderId="12" xfId="66" applyBorder="1" applyAlignment="1">
      <alignment/>
      <protection/>
    </xf>
    <xf numFmtId="4" fontId="6" fillId="0" borderId="66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46" fillId="0" borderId="0" xfId="59" applyFont="1" applyAlignment="1">
      <alignment horizontal="center"/>
      <protection/>
    </xf>
    <xf numFmtId="0" fontId="49" fillId="0" borderId="0" xfId="59" applyFont="1">
      <alignment/>
      <protection/>
    </xf>
    <xf numFmtId="3" fontId="57" fillId="0" borderId="0" xfId="59" applyNumberFormat="1" applyFont="1" applyBorder="1">
      <alignment/>
      <protection/>
    </xf>
    <xf numFmtId="3" fontId="43" fillId="0" borderId="0" xfId="59" applyNumberFormat="1" applyFont="1" applyBorder="1">
      <alignment/>
      <protection/>
    </xf>
    <xf numFmtId="3" fontId="37" fillId="0" borderId="0" xfId="59" applyNumberFormat="1" applyFont="1" applyBorder="1">
      <alignment/>
      <protection/>
    </xf>
    <xf numFmtId="181" fontId="43" fillId="24" borderId="0" xfId="59" applyNumberFormat="1" applyFont="1" applyFill="1" applyBorder="1">
      <alignment/>
      <protection/>
    </xf>
    <xf numFmtId="0" fontId="43" fillId="0" borderId="0" xfId="59" applyFont="1" applyBorder="1" applyAlignment="1">
      <alignment horizontal="left"/>
      <protection/>
    </xf>
    <xf numFmtId="0" fontId="46" fillId="0" borderId="0" xfId="0" applyFont="1" applyFill="1" applyAlignment="1">
      <alignment/>
    </xf>
    <xf numFmtId="0" fontId="0" fillId="0" borderId="0" xfId="0" applyNumberFormat="1" applyFill="1" applyAlignment="1" quotePrefix="1">
      <alignment/>
    </xf>
    <xf numFmtId="0" fontId="49" fillId="0" borderId="0" xfId="0" applyFont="1" applyFill="1" applyBorder="1" applyAlignment="1">
      <alignment horizontal="left"/>
    </xf>
    <xf numFmtId="0" fontId="0" fillId="0" borderId="0" xfId="48">
      <alignment/>
      <protection/>
    </xf>
    <xf numFmtId="4" fontId="40" fillId="0" borderId="49" xfId="48" applyNumberFormat="1" applyFont="1" applyFill="1" applyBorder="1">
      <alignment/>
      <protection/>
    </xf>
    <xf numFmtId="4" fontId="40" fillId="0" borderId="40" xfId="48" applyNumberFormat="1" applyFont="1" applyFill="1" applyBorder="1">
      <alignment/>
      <protection/>
    </xf>
    <xf numFmtId="4" fontId="40" fillId="0" borderId="46" xfId="48" applyNumberFormat="1" applyFont="1" applyFill="1" applyBorder="1">
      <alignment/>
      <protection/>
    </xf>
    <xf numFmtId="4" fontId="40" fillId="0" borderId="48" xfId="48" applyNumberFormat="1" applyFont="1" applyFill="1" applyBorder="1">
      <alignment/>
      <protection/>
    </xf>
    <xf numFmtId="4" fontId="40" fillId="0" borderId="55" xfId="48" applyNumberFormat="1" applyFont="1" applyFill="1" applyBorder="1">
      <alignment/>
      <protection/>
    </xf>
    <xf numFmtId="4" fontId="40" fillId="0" borderId="68" xfId="48" applyNumberFormat="1" applyFont="1" applyFill="1" applyBorder="1">
      <alignment/>
      <protection/>
    </xf>
    <xf numFmtId="4" fontId="41" fillId="0" borderId="49" xfId="48" applyNumberFormat="1" applyFont="1" applyFill="1" applyBorder="1">
      <alignment/>
      <protection/>
    </xf>
    <xf numFmtId="0" fontId="0" fillId="0" borderId="0" xfId="48" applyFill="1">
      <alignment/>
      <protection/>
    </xf>
    <xf numFmtId="4" fontId="40" fillId="0" borderId="18" xfId="48" applyNumberFormat="1" applyFont="1" applyFill="1" applyBorder="1">
      <alignment/>
      <protection/>
    </xf>
    <xf numFmtId="4" fontId="40" fillId="0" borderId="19" xfId="48" applyNumberFormat="1" applyFont="1" applyBorder="1">
      <alignment/>
      <protection/>
    </xf>
    <xf numFmtId="4" fontId="40" fillId="0" borderId="25" xfId="48" applyNumberFormat="1" applyFont="1" applyBorder="1">
      <alignment/>
      <protection/>
    </xf>
    <xf numFmtId="4" fontId="40" fillId="0" borderId="45" xfId="48" applyNumberFormat="1" applyFont="1" applyBorder="1">
      <alignment/>
      <protection/>
    </xf>
    <xf numFmtId="4" fontId="40" fillId="0" borderId="18" xfId="48" applyNumberFormat="1" applyFont="1" applyBorder="1">
      <alignment/>
      <protection/>
    </xf>
    <xf numFmtId="4" fontId="40" fillId="0" borderId="53" xfId="48" applyNumberFormat="1" applyFont="1" applyBorder="1">
      <alignment/>
      <protection/>
    </xf>
    <xf numFmtId="4" fontId="40" fillId="0" borderId="18" xfId="48" applyNumberFormat="1" applyFont="1" applyBorder="1" applyAlignment="1">
      <alignment/>
      <protection/>
    </xf>
    <xf numFmtId="4" fontId="40" fillId="0" borderId="19" xfId="48" applyNumberFormat="1" applyFont="1" applyBorder="1" applyAlignment="1">
      <alignment/>
      <protection/>
    </xf>
    <xf numFmtId="4" fontId="40" fillId="0" borderId="25" xfId="48" applyNumberFormat="1" applyFont="1" applyBorder="1" applyAlignment="1">
      <alignment/>
      <protection/>
    </xf>
    <xf numFmtId="4" fontId="40" fillId="0" borderId="45" xfId="48" applyNumberFormat="1" applyFont="1" applyBorder="1" applyAlignment="1">
      <alignment/>
      <protection/>
    </xf>
    <xf numFmtId="4" fontId="40" fillId="0" borderId="53" xfId="48" applyNumberFormat="1" applyFont="1" applyBorder="1" applyAlignment="1">
      <alignment/>
      <protection/>
    </xf>
    <xf numFmtId="0" fontId="0" fillId="0" borderId="0" xfId="48" applyAlignment="1">
      <alignment/>
      <protection/>
    </xf>
    <xf numFmtId="4" fontId="40" fillId="0" borderId="19" xfId="48" applyNumberFormat="1" applyFont="1" applyBorder="1" applyAlignment="1">
      <alignment horizontal="right"/>
      <protection/>
    </xf>
    <xf numFmtId="4" fontId="40" fillId="0" borderId="22" xfId="48" applyNumberFormat="1" applyFont="1" applyBorder="1">
      <alignment/>
      <protection/>
    </xf>
    <xf numFmtId="4" fontId="40" fillId="0" borderId="51" xfId="48" applyNumberFormat="1" applyFont="1" applyBorder="1" applyAlignment="1">
      <alignment/>
      <protection/>
    </xf>
    <xf numFmtId="4" fontId="40" fillId="0" borderId="52" xfId="48" applyNumberFormat="1" applyFont="1" applyBorder="1">
      <alignment/>
      <protection/>
    </xf>
    <xf numFmtId="4" fontId="40" fillId="0" borderId="78" xfId="48" applyNumberFormat="1" applyFont="1" applyBorder="1">
      <alignment/>
      <protection/>
    </xf>
    <xf numFmtId="4" fontId="40" fillId="0" borderId="59" xfId="48" applyNumberFormat="1" applyFont="1" applyBorder="1">
      <alignment/>
      <protection/>
    </xf>
    <xf numFmtId="4" fontId="41" fillId="0" borderId="12" xfId="48" applyNumberFormat="1" applyFont="1" applyBorder="1">
      <alignment/>
      <protection/>
    </xf>
    <xf numFmtId="4" fontId="40" fillId="0" borderId="66" xfId="48" applyNumberFormat="1" applyFont="1" applyBorder="1">
      <alignment/>
      <protection/>
    </xf>
    <xf numFmtId="4" fontId="40" fillId="0" borderId="54" xfId="48" applyNumberFormat="1" applyFont="1" applyBorder="1">
      <alignment/>
      <protection/>
    </xf>
    <xf numFmtId="4" fontId="40" fillId="0" borderId="67" xfId="48" applyNumberFormat="1" applyFont="1" applyBorder="1">
      <alignment/>
      <protection/>
    </xf>
    <xf numFmtId="4" fontId="41" fillId="0" borderId="24" xfId="48" applyNumberFormat="1" applyFont="1" applyBorder="1">
      <alignment/>
      <protection/>
    </xf>
    <xf numFmtId="4" fontId="2" fillId="0" borderId="28" xfId="66" applyNumberFormat="1" applyBorder="1">
      <alignment/>
      <protection/>
    </xf>
    <xf numFmtId="4" fontId="2" fillId="0" borderId="20" xfId="66" applyNumberFormat="1" applyBorder="1">
      <alignment/>
      <protection/>
    </xf>
    <xf numFmtId="4" fontId="2" fillId="0" borderId="20" xfId="66" applyNumberFormat="1" applyFill="1" applyBorder="1">
      <alignment/>
      <protection/>
    </xf>
    <xf numFmtId="4" fontId="40" fillId="0" borderId="0" xfId="0" applyNumberFormat="1" applyFont="1" applyAlignment="1">
      <alignment/>
    </xf>
    <xf numFmtId="0" fontId="6" fillId="34" borderId="41" xfId="0" applyFont="1" applyFill="1" applyBorder="1" applyAlignment="1">
      <alignment horizontal="center" textRotation="90" wrapText="1"/>
    </xf>
    <xf numFmtId="0" fontId="0" fillId="35" borderId="23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" fontId="0" fillId="34" borderId="25" xfId="0" applyNumberFormat="1" applyFill="1" applyBorder="1" applyAlignment="1">
      <alignment/>
    </xf>
    <xf numFmtId="0" fontId="5" fillId="36" borderId="29" xfId="69" applyFont="1" applyFill="1" applyBorder="1" applyAlignment="1">
      <alignment horizontal="center"/>
      <protection/>
    </xf>
    <xf numFmtId="4" fontId="2" fillId="36" borderId="28" xfId="69" applyNumberFormat="1" applyFont="1" applyFill="1" applyBorder="1">
      <alignment/>
      <protection/>
    </xf>
    <xf numFmtId="4" fontId="2" fillId="36" borderId="20" xfId="69" applyNumberFormat="1" applyFont="1" applyFill="1" applyBorder="1">
      <alignment/>
      <protection/>
    </xf>
    <xf numFmtId="4" fontId="2" fillId="36" borderId="21" xfId="69" applyNumberFormat="1" applyFont="1" applyFill="1" applyBorder="1">
      <alignment/>
      <protection/>
    </xf>
    <xf numFmtId="4" fontId="2" fillId="35" borderId="55" xfId="66" applyNumberFormat="1" applyFill="1" applyBorder="1">
      <alignment/>
      <protection/>
    </xf>
    <xf numFmtId="4" fontId="2" fillId="35" borderId="53" xfId="66" applyNumberFormat="1" applyFill="1" applyBorder="1">
      <alignment/>
      <protection/>
    </xf>
    <xf numFmtId="4" fontId="2" fillId="35" borderId="59" xfId="66" applyNumberFormat="1" applyFill="1" applyBorder="1">
      <alignment/>
      <protection/>
    </xf>
    <xf numFmtId="4" fontId="2" fillId="35" borderId="83" xfId="66" applyNumberFormat="1" applyFont="1" applyFill="1" applyBorder="1">
      <alignment/>
      <protection/>
    </xf>
    <xf numFmtId="4" fontId="2" fillId="35" borderId="53" xfId="66" applyNumberFormat="1" applyFont="1" applyFill="1" applyBorder="1">
      <alignment/>
      <protection/>
    </xf>
    <xf numFmtId="4" fontId="2" fillId="35" borderId="39" xfId="66" applyNumberFormat="1" applyFont="1" applyFill="1" applyBorder="1">
      <alignment/>
      <protection/>
    </xf>
    <xf numFmtId="172" fontId="76" fillId="37" borderId="66" xfId="50" applyNumberFormat="1" applyFont="1" applyFill="1" applyBorder="1">
      <alignment/>
      <protection/>
    </xf>
    <xf numFmtId="172" fontId="76" fillId="37" borderId="67" xfId="50" applyNumberFormat="1" applyFont="1" applyFill="1" applyBorder="1">
      <alignment/>
      <protection/>
    </xf>
    <xf numFmtId="172" fontId="76" fillId="37" borderId="12" xfId="50" applyNumberFormat="1" applyFont="1" applyFill="1" applyBorder="1">
      <alignment/>
      <protection/>
    </xf>
    <xf numFmtId="172" fontId="76" fillId="37" borderId="54" xfId="50" applyNumberFormat="1" applyFont="1" applyFill="1" applyBorder="1">
      <alignment/>
      <protection/>
    </xf>
    <xf numFmtId="172" fontId="76" fillId="37" borderId="24" xfId="50" applyNumberFormat="1" applyFont="1" applyFill="1" applyBorder="1">
      <alignment/>
      <protection/>
    </xf>
    <xf numFmtId="172" fontId="6" fillId="37" borderId="12" xfId="0" applyNumberFormat="1" applyFont="1" applyFill="1" applyBorder="1" applyAlignment="1">
      <alignment/>
    </xf>
    <xf numFmtId="172" fontId="6" fillId="37" borderId="23" xfId="0" applyNumberFormat="1" applyFont="1" applyFill="1" applyBorder="1" applyAlignment="1">
      <alignment/>
    </xf>
    <xf numFmtId="172" fontId="6" fillId="37" borderId="24" xfId="0" applyNumberFormat="1" applyFont="1" applyFill="1" applyBorder="1" applyAlignment="1">
      <alignment/>
    </xf>
    <xf numFmtId="172" fontId="76" fillId="37" borderId="44" xfId="50" applyNumberFormat="1" applyFont="1" applyFill="1" applyBorder="1">
      <alignment/>
      <protection/>
    </xf>
    <xf numFmtId="172" fontId="76" fillId="37" borderId="33" xfId="50" applyNumberFormat="1" applyFont="1" applyFill="1" applyBorder="1">
      <alignment/>
      <protection/>
    </xf>
    <xf numFmtId="172" fontId="76" fillId="37" borderId="34" xfId="50" applyNumberFormat="1" applyFont="1" applyFill="1" applyBorder="1">
      <alignment/>
      <protection/>
    </xf>
    <xf numFmtId="172" fontId="76" fillId="37" borderId="17" xfId="50" applyNumberFormat="1" applyFont="1" applyFill="1" applyBorder="1">
      <alignment/>
      <protection/>
    </xf>
    <xf numFmtId="172" fontId="6" fillId="37" borderId="16" xfId="0" applyNumberFormat="1" applyFont="1" applyFill="1" applyBorder="1" applyAlignment="1">
      <alignment/>
    </xf>
    <xf numFmtId="172" fontId="6" fillId="37" borderId="84" xfId="0" applyNumberFormat="1" applyFont="1" applyFill="1" applyBorder="1" applyAlignment="1">
      <alignment/>
    </xf>
    <xf numFmtId="172" fontId="6" fillId="37" borderId="17" xfId="0" applyNumberFormat="1" applyFont="1" applyFill="1" applyBorder="1" applyAlignment="1">
      <alignment/>
    </xf>
    <xf numFmtId="172" fontId="76" fillId="38" borderId="12" xfId="50" applyNumberFormat="1" applyFont="1" applyFill="1" applyBorder="1" applyAlignment="1">
      <alignment vertical="center"/>
      <protection/>
    </xf>
    <xf numFmtId="172" fontId="6" fillId="38" borderId="12" xfId="0" applyNumberFormat="1" applyFont="1" applyFill="1" applyBorder="1" applyAlignment="1">
      <alignment vertical="center"/>
    </xf>
    <xf numFmtId="172" fontId="6" fillId="38" borderId="23" xfId="0" applyNumberFormat="1" applyFont="1" applyFill="1" applyBorder="1" applyAlignment="1">
      <alignment vertical="center"/>
    </xf>
    <xf numFmtId="172" fontId="6" fillId="38" borderId="15" xfId="0" applyNumberFormat="1" applyFont="1" applyFill="1" applyBorder="1" applyAlignment="1">
      <alignment vertical="center"/>
    </xf>
    <xf numFmtId="0" fontId="17" fillId="34" borderId="25" xfId="0" applyFont="1" applyFill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/>
    </xf>
    <xf numFmtId="4" fontId="17" fillId="34" borderId="25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4" borderId="25" xfId="0" applyNumberFormat="1" applyFont="1" applyFill="1" applyBorder="1" applyAlignment="1">
      <alignment/>
    </xf>
    <xf numFmtId="4" fontId="4" fillId="36" borderId="29" xfId="69" applyNumberFormat="1" applyFont="1" applyFill="1" applyBorder="1">
      <alignment/>
      <protection/>
    </xf>
    <xf numFmtId="4" fontId="4" fillId="36" borderId="66" xfId="69" applyNumberFormat="1" applyFont="1" applyFill="1" applyBorder="1">
      <alignment/>
      <protection/>
    </xf>
    <xf numFmtId="172" fontId="75" fillId="0" borderId="49" xfId="50" applyNumberFormat="1" applyFont="1" applyBorder="1">
      <alignment/>
      <protection/>
    </xf>
    <xf numFmtId="172" fontId="0" fillId="0" borderId="72" xfId="0" applyNumberFormat="1" applyFont="1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172" fontId="0" fillId="0" borderId="13" xfId="0" applyNumberFormat="1" applyFont="1" applyFill="1" applyBorder="1" applyAlignment="1">
      <alignment/>
    </xf>
    <xf numFmtId="172" fontId="0" fillId="0" borderId="85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33" borderId="68" xfId="0" applyFont="1" applyFill="1" applyBorder="1" applyAlignment="1">
      <alignment horizontal="center"/>
    </xf>
    <xf numFmtId="172" fontId="75" fillId="0" borderId="13" xfId="50" applyNumberFormat="1" applyFont="1" applyBorder="1">
      <alignment/>
      <protection/>
    </xf>
    <xf numFmtId="4" fontId="73" fillId="26" borderId="60" xfId="0" applyNumberFormat="1" applyFont="1" applyFill="1" applyBorder="1" applyAlignment="1">
      <alignment horizontal="right" vertical="center" wrapText="1"/>
    </xf>
    <xf numFmtId="4" fontId="73" fillId="26" borderId="40" xfId="0" applyNumberFormat="1" applyFont="1" applyFill="1" applyBorder="1" applyAlignment="1">
      <alignment horizontal="right" vertical="center" wrapText="1"/>
    </xf>
    <xf numFmtId="4" fontId="73" fillId="27" borderId="19" xfId="0" applyNumberFormat="1" applyFont="1" applyFill="1" applyBorder="1" applyAlignment="1">
      <alignment horizontal="right" vertical="center" wrapText="1"/>
    </xf>
    <xf numFmtId="4" fontId="75" fillId="27" borderId="25" xfId="0" applyNumberFormat="1" applyFont="1" applyFill="1" applyBorder="1" applyAlignment="1">
      <alignment horizontal="right" vertical="center" wrapText="1"/>
    </xf>
    <xf numFmtId="4" fontId="73" fillId="0" borderId="19" xfId="0" applyNumberFormat="1" applyFont="1" applyFill="1" applyBorder="1" applyAlignment="1">
      <alignment horizontal="right" vertical="center" wrapText="1"/>
    </xf>
    <xf numFmtId="4" fontId="73" fillId="26" borderId="19" xfId="0" applyNumberFormat="1" applyFont="1" applyFill="1" applyBorder="1" applyAlignment="1">
      <alignment horizontal="right" vertical="center" wrapText="1"/>
    </xf>
    <xf numFmtId="4" fontId="73" fillId="29" borderId="34" xfId="0" applyNumberFormat="1" applyFont="1" applyFill="1" applyBorder="1" applyAlignment="1">
      <alignment horizontal="right" vertical="center" wrapText="1"/>
    </xf>
    <xf numFmtId="4" fontId="73" fillId="29" borderId="86" xfId="0" applyNumberFormat="1" applyFont="1" applyFill="1" applyBorder="1" applyAlignment="1">
      <alignment horizontal="right" vertical="center" wrapText="1"/>
    </xf>
    <xf numFmtId="4" fontId="73" fillId="29" borderId="87" xfId="0" applyNumberFormat="1" applyFont="1" applyFill="1" applyBorder="1" applyAlignment="1">
      <alignment horizontal="right" vertical="center" wrapText="1"/>
    </xf>
    <xf numFmtId="4" fontId="2" fillId="0" borderId="55" xfId="0" applyNumberFormat="1" applyFont="1" applyFill="1" applyBorder="1" applyAlignment="1">
      <alignment/>
    </xf>
    <xf numFmtId="4" fontId="2" fillId="0" borderId="20" xfId="66" applyNumberFormat="1" applyFill="1" applyBorder="1" applyAlignment="1">
      <alignment/>
      <protection/>
    </xf>
    <xf numFmtId="4" fontId="2" fillId="0" borderId="18" xfId="66" applyNumberFormat="1" applyFill="1" applyBorder="1" applyAlignment="1">
      <alignment/>
      <protection/>
    </xf>
    <xf numFmtId="4" fontId="2" fillId="0" borderId="88" xfId="66" applyNumberFormat="1" applyFont="1" applyFill="1" applyBorder="1" applyAlignment="1">
      <alignment/>
      <protection/>
    </xf>
    <xf numFmtId="4" fontId="2" fillId="0" borderId="89" xfId="66" applyNumberFormat="1" applyFont="1" applyFill="1" applyBorder="1" applyAlignment="1">
      <alignment/>
      <protection/>
    </xf>
    <xf numFmtId="4" fontId="2" fillId="0" borderId="90" xfId="66" applyNumberFormat="1" applyFont="1" applyFill="1" applyBorder="1" applyAlignment="1">
      <alignment/>
      <protection/>
    </xf>
    <xf numFmtId="0" fontId="2" fillId="0" borderId="41" xfId="66" applyFill="1" applyBorder="1" applyAlignment="1">
      <alignment horizontal="center"/>
      <protection/>
    </xf>
    <xf numFmtId="4" fontId="2" fillId="0" borderId="81" xfId="66" applyNumberFormat="1" applyFill="1" applyBorder="1" applyAlignment="1">
      <alignment/>
      <protection/>
    </xf>
    <xf numFmtId="4" fontId="2" fillId="0" borderId="82" xfId="66" applyNumberFormat="1" applyFill="1" applyBorder="1" applyAlignment="1">
      <alignment/>
      <protection/>
    </xf>
    <xf numFmtId="4" fontId="2" fillId="0" borderId="63" xfId="66" applyNumberFormat="1" applyFill="1" applyBorder="1" applyAlignment="1">
      <alignment/>
      <protection/>
    </xf>
    <xf numFmtId="4" fontId="2" fillId="0" borderId="64" xfId="66" applyNumberFormat="1" applyFont="1" applyFill="1" applyBorder="1" applyAlignment="1">
      <alignment/>
      <protection/>
    </xf>
    <xf numFmtId="4" fontId="2" fillId="24" borderId="18" xfId="66" applyNumberFormat="1" applyFill="1" applyBorder="1">
      <alignment/>
      <protection/>
    </xf>
    <xf numFmtId="172" fontId="0" fillId="0" borderId="53" xfId="0" applyNumberFormat="1" applyFont="1" applyFill="1" applyBorder="1" applyAlignment="1">
      <alignment/>
    </xf>
    <xf numFmtId="172" fontId="75" fillId="0" borderId="22" xfId="50" applyNumberFormat="1" applyFont="1" applyFill="1" applyBorder="1">
      <alignment/>
      <protection/>
    </xf>
    <xf numFmtId="172" fontId="0" fillId="0" borderId="78" xfId="0" applyNumberFormat="1" applyFont="1" applyFill="1" applyBorder="1" applyAlignment="1">
      <alignment/>
    </xf>
    <xf numFmtId="172" fontId="75" fillId="0" borderId="58" xfId="50" applyNumberFormat="1" applyFont="1" applyFill="1" applyBorder="1">
      <alignment/>
      <protection/>
    </xf>
    <xf numFmtId="172" fontId="0" fillId="0" borderId="39" xfId="0" applyNumberFormat="1" applyFont="1" applyFill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0" fillId="0" borderId="65" xfId="0" applyNumberFormat="1" applyFont="1" applyBorder="1" applyAlignment="1">
      <alignment horizontal="right" vertical="top" wrapText="1"/>
    </xf>
    <xf numFmtId="172" fontId="0" fillId="0" borderId="58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 horizontal="left"/>
    </xf>
    <xf numFmtId="2" fontId="0" fillId="0" borderId="13" xfId="0" applyNumberFormat="1" applyFont="1" applyBorder="1" applyAlignment="1">
      <alignment horizontal="right" vertical="top" wrapText="1"/>
    </xf>
    <xf numFmtId="2" fontId="0" fillId="0" borderId="58" xfId="0" applyNumberFormat="1" applyFont="1" applyBorder="1" applyAlignment="1">
      <alignment horizontal="right" vertical="top" wrapText="1"/>
    </xf>
    <xf numFmtId="172" fontId="0" fillId="0" borderId="46" xfId="0" applyNumberFormat="1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7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33" borderId="46" xfId="0" applyFont="1" applyFill="1" applyBorder="1" applyAlignment="1">
      <alignment horizontal="center"/>
    </xf>
    <xf numFmtId="172" fontId="0" fillId="33" borderId="25" xfId="0" applyNumberFormat="1" applyFont="1" applyFill="1" applyBorder="1" applyAlignment="1">
      <alignment/>
    </xf>
    <xf numFmtId="172" fontId="75" fillId="33" borderId="58" xfId="50" applyNumberFormat="1" applyFont="1" applyFill="1" applyBorder="1">
      <alignment/>
      <protection/>
    </xf>
    <xf numFmtId="2" fontId="76" fillId="37" borderId="12" xfId="50" applyNumberFormat="1" applyFont="1" applyFill="1" applyBorder="1">
      <alignment/>
      <protection/>
    </xf>
    <xf numFmtId="2" fontId="0" fillId="0" borderId="49" xfId="0" applyNumberFormat="1" applyFont="1" applyFill="1" applyBorder="1" applyAlignment="1">
      <alignment/>
    </xf>
    <xf numFmtId="2" fontId="76" fillId="27" borderId="12" xfId="50" applyNumberFormat="1" applyFont="1" applyFill="1" applyBorder="1">
      <alignment/>
      <protection/>
    </xf>
    <xf numFmtId="2" fontId="0" fillId="0" borderId="41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6" fillId="27" borderId="12" xfId="0" applyNumberFormat="1" applyFont="1" applyFill="1" applyBorder="1" applyAlignment="1">
      <alignment/>
    </xf>
    <xf numFmtId="2" fontId="76" fillId="37" borderId="16" xfId="50" applyNumberFormat="1" applyFont="1" applyFill="1" applyBorder="1">
      <alignment/>
      <protection/>
    </xf>
    <xf numFmtId="2" fontId="0" fillId="0" borderId="49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6" fillId="27" borderId="65" xfId="0" applyNumberFormat="1" applyFont="1" applyFill="1" applyBorder="1" applyAlignment="1">
      <alignment/>
    </xf>
    <xf numFmtId="2" fontId="6" fillId="38" borderId="12" xfId="0" applyNumberFormat="1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6" xfId="0" applyFont="1" applyBorder="1" applyAlignment="1">
      <alignment horizontal="center" textRotation="90" wrapText="1"/>
    </xf>
    <xf numFmtId="0" fontId="0" fillId="0" borderId="77" xfId="0" applyFont="1" applyBorder="1" applyAlignment="1">
      <alignment horizontal="center" textRotation="90" wrapText="1"/>
    </xf>
    <xf numFmtId="0" fontId="0" fillId="0" borderId="88" xfId="0" applyFont="1" applyBorder="1" applyAlignment="1">
      <alignment horizontal="center" vertical="top" wrapText="1"/>
    </xf>
    <xf numFmtId="0" fontId="0" fillId="0" borderId="89" xfId="0" applyFont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92" xfId="0" applyFont="1" applyFill="1" applyBorder="1" applyAlignment="1">
      <alignment horizontal="center" vertical="top" wrapText="1"/>
    </xf>
    <xf numFmtId="0" fontId="76" fillId="37" borderId="29" xfId="50" applyFont="1" applyFill="1" applyBorder="1" applyAlignment="1">
      <alignment horizontal="left"/>
      <protection/>
    </xf>
    <xf numFmtId="0" fontId="76" fillId="37" borderId="24" xfId="50" applyFont="1" applyFill="1" applyBorder="1" applyAlignment="1">
      <alignment horizontal="left"/>
      <protection/>
    </xf>
    <xf numFmtId="0" fontId="76" fillId="37" borderId="30" xfId="50" applyFont="1" applyFill="1" applyBorder="1" applyAlignment="1">
      <alignment wrapText="1"/>
      <protection/>
    </xf>
    <xf numFmtId="0" fontId="0" fillId="33" borderId="53" xfId="0" applyFont="1" applyFill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72" fontId="0" fillId="0" borderId="52" xfId="0" applyNumberFormat="1" applyFont="1" applyBorder="1" applyAlignment="1">
      <alignment/>
    </xf>
    <xf numFmtId="172" fontId="0" fillId="0" borderId="78" xfId="0" applyNumberFormat="1" applyFont="1" applyBorder="1" applyAlignment="1">
      <alignment/>
    </xf>
    <xf numFmtId="0" fontId="0" fillId="0" borderId="39" xfId="0" applyFont="1" applyBorder="1" applyAlignment="1">
      <alignment horizontal="left"/>
    </xf>
    <xf numFmtId="0" fontId="76" fillId="27" borderId="29" xfId="50" applyFont="1" applyFill="1" applyBorder="1">
      <alignment/>
      <protection/>
    </xf>
    <xf numFmtId="0" fontId="76" fillId="27" borderId="24" xfId="50" applyFont="1" applyFill="1" applyBorder="1">
      <alignment/>
      <protection/>
    </xf>
    <xf numFmtId="0" fontId="76" fillId="27" borderId="30" xfId="50" applyFont="1" applyFill="1" applyBorder="1" applyAlignment="1">
      <alignment wrapText="1"/>
      <protection/>
    </xf>
    <xf numFmtId="172" fontId="0" fillId="0" borderId="18" xfId="71" applyNumberFormat="1" applyFont="1" applyFill="1" applyBorder="1" applyAlignment="1">
      <alignment horizontal="right" vertical="center"/>
      <protection/>
    </xf>
    <xf numFmtId="172" fontId="0" fillId="33" borderId="18" xfId="71" applyNumberFormat="1" applyFont="1" applyFill="1" applyBorder="1" applyAlignment="1">
      <alignment horizontal="right" vertical="center"/>
      <protection/>
    </xf>
    <xf numFmtId="0" fontId="0" fillId="33" borderId="47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  <xf numFmtId="172" fontId="0" fillId="33" borderId="46" xfId="0" applyNumberFormat="1" applyFont="1" applyFill="1" applyBorder="1" applyAlignment="1">
      <alignment/>
    </xf>
    <xf numFmtId="0" fontId="75" fillId="27" borderId="29" xfId="50" applyFont="1" applyFill="1" applyBorder="1" applyAlignment="1">
      <alignment horizontal="left"/>
      <protection/>
    </xf>
    <xf numFmtId="0" fontId="75" fillId="27" borderId="24" xfId="50" applyFont="1" applyFill="1" applyBorder="1" applyAlignment="1">
      <alignment horizontal="left"/>
      <protection/>
    </xf>
    <xf numFmtId="172" fontId="0" fillId="0" borderId="49" xfId="70" applyNumberFormat="1" applyFont="1" applyBorder="1" applyAlignment="1">
      <alignment horizontal="right" vertical="center"/>
      <protection/>
    </xf>
    <xf numFmtId="0" fontId="76" fillId="37" borderId="38" xfId="50" applyFont="1" applyFill="1" applyBorder="1" applyAlignment="1">
      <alignment horizontal="left"/>
      <protection/>
    </xf>
    <xf numFmtId="0" fontId="76" fillId="37" borderId="43" xfId="50" applyFont="1" applyFill="1" applyBorder="1" applyAlignment="1">
      <alignment horizontal="left"/>
      <protection/>
    </xf>
    <xf numFmtId="0" fontId="76" fillId="37" borderId="39" xfId="50" applyFont="1" applyFill="1" applyBorder="1" applyAlignment="1">
      <alignment wrapText="1"/>
      <protection/>
    </xf>
    <xf numFmtId="0" fontId="0" fillId="0" borderId="93" xfId="0" applyFont="1" applyBorder="1" applyAlignment="1">
      <alignment horizontal="left"/>
    </xf>
    <xf numFmtId="172" fontId="0" fillId="0" borderId="71" xfId="0" applyNumberFormat="1" applyFont="1" applyBorder="1" applyAlignment="1">
      <alignment/>
    </xf>
    <xf numFmtId="172" fontId="0" fillId="0" borderId="51" xfId="0" applyNumberFormat="1" applyFont="1" applyBorder="1" applyAlignment="1">
      <alignment/>
    </xf>
    <xf numFmtId="0" fontId="0" fillId="33" borderId="3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172" fontId="0" fillId="33" borderId="38" xfId="0" applyNumberFormat="1" applyFont="1" applyFill="1" applyBorder="1" applyAlignment="1">
      <alignment/>
    </xf>
    <xf numFmtId="172" fontId="0" fillId="33" borderId="34" xfId="0" applyNumberFormat="1" applyFont="1" applyFill="1" applyBorder="1" applyAlignment="1">
      <alignment/>
    </xf>
    <xf numFmtId="172" fontId="0" fillId="0" borderId="41" xfId="70" applyNumberFormat="1" applyFont="1" applyBorder="1" applyAlignment="1">
      <alignment horizontal="right" vertical="center"/>
      <protection/>
    </xf>
    <xf numFmtId="172" fontId="0" fillId="0" borderId="94" xfId="0" applyNumberFormat="1" applyFont="1" applyBorder="1" applyAlignment="1">
      <alignment/>
    </xf>
    <xf numFmtId="0" fontId="75" fillId="37" borderId="38" xfId="50" applyFont="1" applyFill="1" applyBorder="1" applyAlignment="1">
      <alignment horizontal="left"/>
      <protection/>
    </xf>
    <xf numFmtId="0" fontId="75" fillId="37" borderId="43" xfId="50" applyFont="1" applyFill="1" applyBorder="1" applyAlignment="1">
      <alignment horizontal="left"/>
      <protection/>
    </xf>
    <xf numFmtId="172" fontId="0" fillId="0" borderId="40" xfId="0" applyNumberFormat="1" applyFont="1" applyBorder="1" applyAlignment="1">
      <alignment/>
    </xf>
    <xf numFmtId="0" fontId="75" fillId="37" borderId="29" xfId="50" applyFont="1" applyFill="1" applyBorder="1" applyAlignment="1">
      <alignment horizontal="left"/>
      <protection/>
    </xf>
    <xf numFmtId="0" fontId="75" fillId="37" borderId="24" xfId="50" applyFont="1" applyFill="1" applyBorder="1" applyAlignment="1">
      <alignment horizontal="left"/>
      <protection/>
    </xf>
    <xf numFmtId="0" fontId="0" fillId="27" borderId="91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left"/>
    </xf>
    <xf numFmtId="0" fontId="6" fillId="27" borderId="93" xfId="0" applyFont="1" applyFill="1" applyBorder="1" applyAlignment="1">
      <alignment horizontal="left"/>
    </xf>
    <xf numFmtId="0" fontId="76" fillId="38" borderId="12" xfId="50" applyFont="1" applyFill="1" applyBorder="1" applyAlignment="1">
      <alignment horizontal="left"/>
      <protection/>
    </xf>
    <xf numFmtId="0" fontId="6" fillId="38" borderId="12" xfId="0" applyFont="1" applyFill="1" applyBorder="1" applyAlignment="1">
      <alignment vertical="center"/>
    </xf>
    <xf numFmtId="172" fontId="0" fillId="0" borderId="45" xfId="0" applyNumberFormat="1" applyFont="1" applyBorder="1" applyAlignment="1">
      <alignment/>
    </xf>
    <xf numFmtId="172" fontId="0" fillId="0" borderId="48" xfId="0" applyNumberFormat="1" applyFont="1" applyBorder="1" applyAlignment="1">
      <alignment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/>
    </xf>
    <xf numFmtId="0" fontId="0" fillId="39" borderId="23" xfId="0" applyFont="1" applyFill="1" applyBorder="1" applyAlignment="1">
      <alignment horizontal="left"/>
    </xf>
    <xf numFmtId="0" fontId="0" fillId="39" borderId="23" xfId="0" applyFont="1" applyFill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53" xfId="0" applyNumberFormat="1" applyFont="1" applyFill="1" applyBorder="1" applyAlignment="1">
      <alignment/>
    </xf>
    <xf numFmtId="172" fontId="0" fillId="0" borderId="56" xfId="0" applyNumberFormat="1" applyFont="1" applyBorder="1" applyAlignment="1">
      <alignment/>
    </xf>
    <xf numFmtId="0" fontId="0" fillId="27" borderId="23" xfId="0" applyFont="1" applyFill="1" applyBorder="1" applyAlignment="1">
      <alignment horizontal="left"/>
    </xf>
    <xf numFmtId="172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172" fontId="0" fillId="34" borderId="12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0" fontId="76" fillId="40" borderId="12" xfId="0" applyFont="1" applyFill="1" applyBorder="1" applyAlignment="1">
      <alignment vertical="center"/>
    </xf>
    <xf numFmtId="172" fontId="0" fillId="40" borderId="12" xfId="0" applyNumberFormat="1" applyFont="1" applyFill="1" applyBorder="1" applyAlignment="1">
      <alignment/>
    </xf>
    <xf numFmtId="2" fontId="0" fillId="40" borderId="12" xfId="0" applyNumberFormat="1" applyFont="1" applyFill="1" applyBorder="1" applyAlignment="1">
      <alignment/>
    </xf>
    <xf numFmtId="2" fontId="0" fillId="0" borderId="64" xfId="0" applyNumberFormat="1" applyFont="1" applyFill="1" applyBorder="1" applyAlignment="1">
      <alignment/>
    </xf>
    <xf numFmtId="2" fontId="0" fillId="40" borderId="15" xfId="0" applyNumberFormat="1" applyFont="1" applyFill="1" applyBorder="1" applyAlignment="1">
      <alignment/>
    </xf>
    <xf numFmtId="2" fontId="0" fillId="0" borderId="72" xfId="0" applyNumberFormat="1" applyFont="1" applyFill="1" applyBorder="1" applyAlignment="1">
      <alignment/>
    </xf>
    <xf numFmtId="172" fontId="0" fillId="35" borderId="12" xfId="0" applyNumberFormat="1" applyFont="1" applyFill="1" applyBorder="1" applyAlignment="1">
      <alignment horizontal="right"/>
    </xf>
    <xf numFmtId="2" fontId="0" fillId="35" borderId="15" xfId="0" applyNumberFormat="1" applyFont="1" applyFill="1" applyBorder="1" applyAlignment="1">
      <alignment horizontal="right"/>
    </xf>
    <xf numFmtId="172" fontId="0" fillId="39" borderId="12" xfId="0" applyNumberFormat="1" applyFont="1" applyFill="1" applyBorder="1" applyAlignment="1">
      <alignment/>
    </xf>
    <xf numFmtId="2" fontId="0" fillId="39" borderId="12" xfId="0" applyNumberFormat="1" applyFont="1" applyFill="1" applyBorder="1" applyAlignment="1">
      <alignment/>
    </xf>
    <xf numFmtId="172" fontId="75" fillId="0" borderId="18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2" fontId="0" fillId="39" borderId="15" xfId="0" applyNumberFormat="1" applyFont="1" applyFill="1" applyBorder="1" applyAlignment="1">
      <alignment/>
    </xf>
    <xf numFmtId="172" fontId="75" fillId="0" borderId="41" xfId="0" applyNumberFormat="1" applyFont="1" applyFill="1" applyBorder="1" applyAlignment="1">
      <alignment/>
    </xf>
    <xf numFmtId="0" fontId="76" fillId="27" borderId="12" xfId="0" applyFont="1" applyFill="1" applyBorder="1" applyAlignment="1">
      <alignment horizontal="left" vertical="center"/>
    </xf>
    <xf numFmtId="4" fontId="75" fillId="0" borderId="25" xfId="0" applyNumberFormat="1" applyFont="1" applyFill="1" applyBorder="1" applyAlignment="1">
      <alignment/>
    </xf>
    <xf numFmtId="2" fontId="76" fillId="27" borderId="30" xfId="50" applyNumberFormat="1" applyFont="1" applyFill="1" applyBorder="1">
      <alignment/>
      <protection/>
    </xf>
    <xf numFmtId="4" fontId="2" fillId="35" borderId="59" xfId="66" applyNumberFormat="1" applyFont="1" applyFill="1" applyBorder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40" xfId="0" applyNumberFormat="1" applyFon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0" borderId="51" xfId="0" applyNumberFormat="1" applyFon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7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3" fontId="47" fillId="0" borderId="46" xfId="0" applyNumberFormat="1" applyFont="1" applyFill="1" applyBorder="1" applyAlignment="1">
      <alignment/>
    </xf>
    <xf numFmtId="4" fontId="47" fillId="0" borderId="46" xfId="0" applyNumberFormat="1" applyFont="1" applyFill="1" applyBorder="1" applyAlignment="1">
      <alignment/>
    </xf>
    <xf numFmtId="181" fontId="45" fillId="0" borderId="19" xfId="0" applyNumberFormat="1" applyFont="1" applyFill="1" applyBorder="1" applyAlignment="1">
      <alignment/>
    </xf>
    <xf numFmtId="181" fontId="45" fillId="0" borderId="25" xfId="0" applyNumberFormat="1" applyFont="1" applyFill="1" applyBorder="1" applyAlignment="1">
      <alignment/>
    </xf>
    <xf numFmtId="172" fontId="45" fillId="0" borderId="25" xfId="0" applyNumberFormat="1" applyFont="1" applyFill="1" applyBorder="1" applyAlignment="1">
      <alignment/>
    </xf>
    <xf numFmtId="172" fontId="47" fillId="0" borderId="25" xfId="0" applyNumberFormat="1" applyFont="1" applyFill="1" applyBorder="1" applyAlignment="1">
      <alignment/>
    </xf>
    <xf numFmtId="3" fontId="45" fillId="0" borderId="25" xfId="0" applyNumberFormat="1" applyFont="1" applyFill="1" applyBorder="1" applyAlignment="1">
      <alignment/>
    </xf>
    <xf numFmtId="2" fontId="13" fillId="0" borderId="25" xfId="0" applyNumberFormat="1" applyFont="1" applyFill="1" applyBorder="1" applyAlignment="1">
      <alignment/>
    </xf>
    <xf numFmtId="3" fontId="47" fillId="0" borderId="25" xfId="0" applyNumberFormat="1" applyFont="1" applyFill="1" applyBorder="1" applyAlignment="1">
      <alignment/>
    </xf>
    <xf numFmtId="4" fontId="58" fillId="0" borderId="19" xfId="52" applyNumberFormat="1" applyFont="1" applyFill="1" applyBorder="1">
      <alignment/>
      <protection/>
    </xf>
    <xf numFmtId="4" fontId="58" fillId="0" borderId="25" xfId="52" applyNumberFormat="1" applyFont="1" applyFill="1" applyBorder="1">
      <alignment/>
      <protection/>
    </xf>
    <xf numFmtId="3" fontId="58" fillId="0" borderId="25" xfId="52" applyNumberFormat="1" applyFont="1" applyFill="1" applyBorder="1">
      <alignment/>
      <protection/>
    </xf>
    <xf numFmtId="3" fontId="53" fillId="0" borderId="25" xfId="0" applyNumberFormat="1" applyFont="1" applyFill="1" applyBorder="1" applyAlignment="1">
      <alignment/>
    </xf>
    <xf numFmtId="4" fontId="58" fillId="0" borderId="44" xfId="52" applyNumberFormat="1" applyFont="1" applyFill="1" applyBorder="1">
      <alignment/>
      <protection/>
    </xf>
    <xf numFmtId="4" fontId="58" fillId="0" borderId="34" xfId="52" applyNumberFormat="1" applyFont="1" applyFill="1" applyBorder="1">
      <alignment/>
      <protection/>
    </xf>
    <xf numFmtId="3" fontId="58" fillId="0" borderId="34" xfId="52" applyNumberFormat="1" applyFont="1" applyFill="1" applyBorder="1">
      <alignment/>
      <protection/>
    </xf>
    <xf numFmtId="3" fontId="53" fillId="0" borderId="34" xfId="0" applyNumberFormat="1" applyFont="1" applyFill="1" applyBorder="1" applyAlignment="1">
      <alignment/>
    </xf>
    <xf numFmtId="172" fontId="45" fillId="0" borderId="25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181" fontId="53" fillId="0" borderId="25" xfId="0" applyNumberFormat="1" applyFont="1" applyBorder="1" applyAlignment="1">
      <alignment/>
    </xf>
    <xf numFmtId="1" fontId="53" fillId="0" borderId="25" xfId="0" applyNumberFormat="1" applyFont="1" applyBorder="1" applyAlignment="1">
      <alignment/>
    </xf>
    <xf numFmtId="3" fontId="53" fillId="0" borderId="25" xfId="0" applyNumberFormat="1" applyFont="1" applyBorder="1" applyAlignment="1">
      <alignment/>
    </xf>
    <xf numFmtId="3" fontId="37" fillId="0" borderId="25" xfId="0" applyNumberFormat="1" applyFont="1" applyFill="1" applyBorder="1" applyAlignment="1">
      <alignment/>
    </xf>
    <xf numFmtId="172" fontId="37" fillId="0" borderId="25" xfId="0" applyNumberFormat="1" applyFont="1" applyFill="1" applyBorder="1" applyAlignment="1">
      <alignment/>
    </xf>
    <xf numFmtId="3" fontId="43" fillId="0" borderId="25" xfId="0" applyNumberFormat="1" applyFont="1" applyFill="1" applyBorder="1" applyAlignment="1">
      <alignment/>
    </xf>
    <xf numFmtId="172" fontId="43" fillId="0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3" fillId="0" borderId="25" xfId="49" applyNumberFormat="1" applyFont="1" applyFill="1" applyBorder="1">
      <alignment/>
      <protection/>
    </xf>
    <xf numFmtId="3" fontId="78" fillId="0" borderId="25" xfId="0" applyNumberFormat="1" applyFont="1" applyBorder="1" applyAlignment="1">
      <alignment/>
    </xf>
    <xf numFmtId="172" fontId="37" fillId="0" borderId="25" xfId="49" applyNumberFormat="1" applyFont="1" applyFill="1" applyBorder="1">
      <alignment/>
      <protection/>
    </xf>
    <xf numFmtId="3" fontId="37" fillId="0" borderId="25" xfId="49" applyNumberFormat="1" applyFont="1" applyFill="1" applyBorder="1">
      <alignment/>
      <protection/>
    </xf>
    <xf numFmtId="3" fontId="57" fillId="0" borderId="25" xfId="49" applyNumberFormat="1" applyFont="1" applyFill="1" applyBorder="1">
      <alignment/>
      <protection/>
    </xf>
    <xf numFmtId="0" fontId="37" fillId="0" borderId="25" xfId="52" applyFont="1" applyFill="1" applyBorder="1" applyAlignment="1">
      <alignment horizontal="left"/>
      <protection/>
    </xf>
    <xf numFmtId="172" fontId="43" fillId="0" borderId="19" xfId="49" applyNumberFormat="1" applyFont="1" applyFill="1" applyBorder="1">
      <alignment/>
      <protection/>
    </xf>
    <xf numFmtId="172" fontId="43" fillId="0" borderId="25" xfId="49" applyNumberFormat="1" applyFont="1" applyFill="1" applyBorder="1">
      <alignment/>
      <protection/>
    </xf>
    <xf numFmtId="0" fontId="48" fillId="41" borderId="25" xfId="49" applyFont="1" applyFill="1" applyBorder="1">
      <alignment/>
      <protection/>
    </xf>
    <xf numFmtId="172" fontId="37" fillId="41" borderId="19" xfId="49" applyNumberFormat="1" applyFont="1" applyFill="1" applyBorder="1">
      <alignment/>
      <protection/>
    </xf>
    <xf numFmtId="3" fontId="37" fillId="41" borderId="25" xfId="49" applyNumberFormat="1" applyFont="1" applyFill="1" applyBorder="1">
      <alignment/>
      <protection/>
    </xf>
    <xf numFmtId="3" fontId="57" fillId="41" borderId="25" xfId="49" applyNumberFormat="1" applyFont="1" applyFill="1" applyBorder="1">
      <alignment/>
      <protection/>
    </xf>
    <xf numFmtId="172" fontId="37" fillId="41" borderId="25" xfId="49" applyNumberFormat="1" applyFont="1" applyFill="1" applyBorder="1">
      <alignment/>
      <protection/>
    </xf>
    <xf numFmtId="181" fontId="45" fillId="0" borderId="25" xfId="0" applyNumberFormat="1" applyFont="1" applyBorder="1" applyAlignment="1">
      <alignment/>
    </xf>
    <xf numFmtId="4" fontId="53" fillId="0" borderId="25" xfId="0" applyNumberFormat="1" applyFont="1" applyFill="1" applyBorder="1" applyAlignment="1">
      <alignment/>
    </xf>
    <xf numFmtId="4" fontId="53" fillId="0" borderId="34" xfId="0" applyNumberFormat="1" applyFont="1" applyFill="1" applyBorder="1" applyAlignment="1">
      <alignment/>
    </xf>
    <xf numFmtId="4" fontId="47" fillId="0" borderId="25" xfId="0" applyNumberFormat="1" applyFont="1" applyFill="1" applyBorder="1" applyAlignment="1">
      <alignment/>
    </xf>
    <xf numFmtId="4" fontId="47" fillId="0" borderId="55" xfId="0" applyNumberFormat="1" applyFont="1" applyFill="1" applyBorder="1" applyAlignment="1">
      <alignment/>
    </xf>
    <xf numFmtId="4" fontId="47" fillId="0" borderId="53" xfId="0" applyNumberFormat="1" applyFont="1" applyFill="1" applyBorder="1" applyAlignment="1">
      <alignment/>
    </xf>
    <xf numFmtId="4" fontId="53" fillId="0" borderId="53" xfId="0" applyNumberFormat="1" applyFont="1" applyFill="1" applyBorder="1" applyAlignment="1">
      <alignment/>
    </xf>
    <xf numFmtId="4" fontId="53" fillId="0" borderId="39" xfId="0" applyNumberFormat="1" applyFont="1" applyFill="1" applyBorder="1" applyAlignment="1">
      <alignment/>
    </xf>
    <xf numFmtId="3" fontId="2" fillId="0" borderId="0" xfId="59" applyNumberFormat="1" applyBorder="1">
      <alignment/>
      <protection/>
    </xf>
    <xf numFmtId="2" fontId="47" fillId="0" borderId="40" xfId="0" applyNumberFormat="1" applyFont="1" applyFill="1" applyBorder="1" applyAlignment="1">
      <alignment/>
    </xf>
    <xf numFmtId="2" fontId="47" fillId="0" borderId="46" xfId="0" applyNumberFormat="1" applyFont="1" applyFill="1" applyBorder="1" applyAlignment="1">
      <alignment/>
    </xf>
    <xf numFmtId="181" fontId="4" fillId="0" borderId="30" xfId="69" applyNumberFormat="1" applyFont="1" applyFill="1" applyBorder="1" applyAlignment="1">
      <alignment horizontal="center"/>
      <protection/>
    </xf>
    <xf numFmtId="4" fontId="12" fillId="0" borderId="20" xfId="69" applyNumberFormat="1" applyFont="1" applyFill="1" applyBorder="1">
      <alignment/>
      <protection/>
    </xf>
    <xf numFmtId="4" fontId="13" fillId="0" borderId="55" xfId="69" applyNumberFormat="1" applyFont="1" applyFill="1" applyBorder="1">
      <alignment/>
      <protection/>
    </xf>
    <xf numFmtId="4" fontId="13" fillId="0" borderId="53" xfId="69" applyNumberFormat="1" applyFont="1" applyFill="1" applyBorder="1">
      <alignment/>
      <protection/>
    </xf>
    <xf numFmtId="4" fontId="4" fillId="0" borderId="23" xfId="69" applyNumberFormat="1" applyFont="1" applyFill="1" applyBorder="1">
      <alignment/>
      <protection/>
    </xf>
    <xf numFmtId="4" fontId="4" fillId="0" borderId="30" xfId="69" applyNumberFormat="1" applyFont="1" applyFill="1" applyBorder="1">
      <alignment/>
      <protection/>
    </xf>
    <xf numFmtId="2" fontId="5" fillId="0" borderId="55" xfId="69" applyNumberFormat="1" applyFont="1" applyFill="1" applyBorder="1">
      <alignment/>
      <protection/>
    </xf>
    <xf numFmtId="2" fontId="5" fillId="0" borderId="53" xfId="69" applyNumberFormat="1" applyFont="1" applyFill="1" applyBorder="1">
      <alignment/>
      <protection/>
    </xf>
    <xf numFmtId="2" fontId="5" fillId="0" borderId="59" xfId="69" applyNumberFormat="1" applyFont="1" applyFill="1" applyBorder="1">
      <alignment/>
      <protection/>
    </xf>
    <xf numFmtId="2" fontId="4" fillId="0" borderId="30" xfId="69" applyNumberFormat="1" applyFont="1" applyFill="1" applyBorder="1">
      <alignment/>
      <protection/>
    </xf>
    <xf numFmtId="4" fontId="0" fillId="0" borderId="11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0" fontId="52" fillId="0" borderId="0" xfId="59" applyFont="1" applyBorder="1" applyAlignment="1">
      <alignment vertical="center"/>
      <protection/>
    </xf>
    <xf numFmtId="0" fontId="4" fillId="0" borderId="0" xfId="69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" fontId="6" fillId="0" borderId="62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0" fontId="6" fillId="42" borderId="38" xfId="0" applyFont="1" applyFill="1" applyBorder="1" applyAlignment="1">
      <alignment horizontal="center" wrapText="1"/>
    </xf>
    <xf numFmtId="0" fontId="6" fillId="42" borderId="34" xfId="0" applyFont="1" applyFill="1" applyBorder="1" applyAlignment="1">
      <alignment horizontal="center" wrapText="1"/>
    </xf>
    <xf numFmtId="0" fontId="6" fillId="42" borderId="39" xfId="0" applyFont="1" applyFill="1" applyBorder="1" applyAlignment="1">
      <alignment horizontal="center" wrapText="1"/>
    </xf>
    <xf numFmtId="0" fontId="6" fillId="42" borderId="49" xfId="0" applyFont="1" applyFill="1" applyBorder="1" applyAlignment="1">
      <alignment/>
    </xf>
    <xf numFmtId="0" fontId="6" fillId="42" borderId="18" xfId="0" applyFont="1" applyFill="1" applyBorder="1" applyAlignment="1">
      <alignment/>
    </xf>
    <xf numFmtId="0" fontId="5" fillId="42" borderId="18" xfId="69" applyFont="1" applyFill="1" applyBorder="1">
      <alignment/>
      <protection/>
    </xf>
    <xf numFmtId="0" fontId="6" fillId="42" borderId="22" xfId="0" applyFont="1" applyFill="1" applyBorder="1" applyAlignment="1">
      <alignment/>
    </xf>
    <xf numFmtId="0" fontId="6" fillId="42" borderId="12" xfId="0" applyFont="1" applyFill="1" applyBorder="1" applyAlignment="1">
      <alignment/>
    </xf>
    <xf numFmtId="4" fontId="0" fillId="0" borderId="71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6" fillId="42" borderId="65" xfId="0" applyFont="1" applyFill="1" applyBorder="1" applyAlignment="1">
      <alignment horizontal="center" vertical="center"/>
    </xf>
    <xf numFmtId="0" fontId="6" fillId="42" borderId="38" xfId="0" applyFont="1" applyFill="1" applyBorder="1" applyAlignment="1">
      <alignment horizontal="center" vertical="center" wrapText="1"/>
    </xf>
    <xf numFmtId="0" fontId="6" fillId="42" borderId="44" xfId="0" applyFont="1" applyFill="1" applyBorder="1" applyAlignment="1">
      <alignment horizontal="center" vertical="center" wrapText="1"/>
    </xf>
    <xf numFmtId="0" fontId="6" fillId="42" borderId="95" xfId="0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0" fontId="6" fillId="42" borderId="96" xfId="0" applyFont="1" applyFill="1" applyBorder="1" applyAlignment="1">
      <alignment horizontal="center" vertical="center" wrapText="1"/>
    </xf>
    <xf numFmtId="0" fontId="6" fillId="42" borderId="39" xfId="0" applyFont="1" applyFill="1" applyBorder="1" applyAlignment="1">
      <alignment horizontal="center" vertical="center" wrapText="1"/>
    </xf>
    <xf numFmtId="0" fontId="6" fillId="42" borderId="71" xfId="0" applyFont="1" applyFill="1" applyBorder="1" applyAlignment="1">
      <alignment horizontal="center" wrapText="1"/>
    </xf>
    <xf numFmtId="0" fontId="6" fillId="42" borderId="51" xfId="0" applyFont="1" applyFill="1" applyBorder="1" applyAlignment="1">
      <alignment horizontal="center" wrapText="1"/>
    </xf>
    <xf numFmtId="0" fontId="6" fillId="42" borderId="73" xfId="0" applyFont="1" applyFill="1" applyBorder="1" applyAlignment="1">
      <alignment horizontal="center" wrapText="1"/>
    </xf>
    <xf numFmtId="0" fontId="6" fillId="42" borderId="0" xfId="0" applyFont="1" applyFill="1" applyBorder="1" applyAlignment="1">
      <alignment horizontal="center" vertical="center"/>
    </xf>
    <xf numFmtId="0" fontId="6" fillId="42" borderId="52" xfId="0" applyFont="1" applyFill="1" applyBorder="1" applyAlignment="1">
      <alignment horizontal="center" wrapText="1"/>
    </xf>
    <xf numFmtId="0" fontId="6" fillId="42" borderId="70" xfId="0" applyFont="1" applyFill="1" applyBorder="1" applyAlignment="1">
      <alignment horizontal="center" wrapText="1"/>
    </xf>
    <xf numFmtId="0" fontId="6" fillId="42" borderId="93" xfId="0" applyFont="1" applyFill="1" applyBorder="1" applyAlignment="1">
      <alignment horizontal="center" wrapText="1"/>
    </xf>
    <xf numFmtId="0" fontId="49" fillId="42" borderId="25" xfId="0" applyFont="1" applyFill="1" applyBorder="1" applyAlignment="1">
      <alignment horizontal="center"/>
    </xf>
    <xf numFmtId="172" fontId="49" fillId="42" borderId="25" xfId="0" applyNumberFormat="1" applyFont="1" applyFill="1" applyBorder="1" applyAlignment="1">
      <alignment horizontal="center"/>
    </xf>
    <xf numFmtId="0" fontId="37" fillId="42" borderId="25" xfId="0" applyFont="1" applyFill="1" applyBorder="1" applyAlignment="1">
      <alignment wrapText="1"/>
    </xf>
    <xf numFmtId="0" fontId="62" fillId="42" borderId="25" xfId="0" applyFont="1" applyFill="1" applyBorder="1" applyAlignment="1">
      <alignment/>
    </xf>
    <xf numFmtId="0" fontId="47" fillId="42" borderId="25" xfId="0" applyFont="1" applyFill="1" applyBorder="1" applyAlignment="1">
      <alignment/>
    </xf>
    <xf numFmtId="0" fontId="48" fillId="42" borderId="25" xfId="49" applyFont="1" applyFill="1" applyBorder="1">
      <alignment/>
      <protection/>
    </xf>
    <xf numFmtId="0" fontId="37" fillId="42" borderId="25" xfId="52" applyFont="1" applyFill="1" applyBorder="1" applyAlignment="1">
      <alignment horizontal="left"/>
      <protection/>
    </xf>
    <xf numFmtId="0" fontId="45" fillId="42" borderId="60" xfId="0" applyFont="1" applyFill="1" applyBorder="1" applyAlignment="1">
      <alignment horizontal="center" vertical="center" wrapText="1"/>
    </xf>
    <xf numFmtId="0" fontId="0" fillId="42" borderId="82" xfId="0" applyFill="1" applyBorder="1" applyAlignment="1">
      <alignment/>
    </xf>
    <xf numFmtId="0" fontId="11" fillId="0" borderId="0" xfId="59" applyFont="1">
      <alignment/>
      <protection/>
    </xf>
    <xf numFmtId="0" fontId="60" fillId="42" borderId="60" xfId="0" applyFont="1" applyFill="1" applyBorder="1" applyAlignment="1">
      <alignment/>
    </xf>
    <xf numFmtId="0" fontId="47" fillId="42" borderId="49" xfId="0" applyFont="1" applyFill="1" applyBorder="1" applyAlignment="1">
      <alignment wrapText="1"/>
    </xf>
    <xf numFmtId="0" fontId="47" fillId="42" borderId="18" xfId="0" applyFont="1" applyFill="1" applyBorder="1" applyAlignment="1">
      <alignment/>
    </xf>
    <xf numFmtId="0" fontId="37" fillId="42" borderId="18" xfId="52" applyFont="1" applyFill="1" applyBorder="1" applyAlignment="1">
      <alignment horizontal="left"/>
      <protection/>
    </xf>
    <xf numFmtId="0" fontId="37" fillId="42" borderId="58" xfId="52" applyFont="1" applyFill="1" applyBorder="1" applyAlignment="1">
      <alignment horizontal="left"/>
      <protection/>
    </xf>
    <xf numFmtId="0" fontId="13" fillId="42" borderId="12" xfId="69" applyFont="1" applyFill="1" applyBorder="1" applyAlignment="1">
      <alignment horizontal="center" vertical="center" wrapText="1"/>
      <protection/>
    </xf>
    <xf numFmtId="0" fontId="13" fillId="42" borderId="23" xfId="69" applyFont="1" applyFill="1" applyBorder="1" applyAlignment="1">
      <alignment horizontal="center" vertical="center" wrapText="1"/>
      <protection/>
    </xf>
    <xf numFmtId="0" fontId="13" fillId="42" borderId="54" xfId="69" applyFont="1" applyFill="1" applyBorder="1" applyAlignment="1">
      <alignment horizontal="center" vertical="center" wrapText="1"/>
      <protection/>
    </xf>
    <xf numFmtId="0" fontId="13" fillId="42" borderId="30" xfId="69" applyFont="1" applyFill="1" applyBorder="1" applyAlignment="1">
      <alignment horizontal="center" vertical="center" wrapText="1"/>
      <protection/>
    </xf>
    <xf numFmtId="0" fontId="12" fillId="42" borderId="65" xfId="69" applyFont="1" applyFill="1" applyBorder="1">
      <alignment/>
      <protection/>
    </xf>
    <xf numFmtId="0" fontId="13" fillId="42" borderId="85" xfId="69" applyFont="1" applyFill="1" applyBorder="1" applyAlignment="1">
      <alignment horizontal="center"/>
      <protection/>
    </xf>
    <xf numFmtId="0" fontId="13" fillId="42" borderId="97" xfId="69" applyFont="1" applyFill="1" applyBorder="1" applyAlignment="1">
      <alignment horizontal="center"/>
      <protection/>
    </xf>
    <xf numFmtId="0" fontId="13" fillId="42" borderId="82" xfId="69" applyFont="1" applyFill="1" applyBorder="1" applyAlignment="1">
      <alignment horizontal="center"/>
      <protection/>
    </xf>
    <xf numFmtId="0" fontId="13" fillId="42" borderId="18" xfId="69" applyFont="1" applyFill="1" applyBorder="1">
      <alignment/>
      <protection/>
    </xf>
    <xf numFmtId="0" fontId="13" fillId="42" borderId="18" xfId="69" applyFont="1" applyFill="1" applyBorder="1">
      <alignment/>
      <protection/>
    </xf>
    <xf numFmtId="0" fontId="32" fillId="42" borderId="18" xfId="0" applyFont="1" applyFill="1" applyBorder="1" applyAlignment="1">
      <alignment/>
    </xf>
    <xf numFmtId="0" fontId="4" fillId="42" borderId="12" xfId="69" applyFont="1" applyFill="1" applyBorder="1">
      <alignment/>
      <protection/>
    </xf>
    <xf numFmtId="0" fontId="5" fillId="42" borderId="12" xfId="66" applyFont="1" applyFill="1" applyBorder="1" applyAlignment="1">
      <alignment horizontal="center" vertical="center" wrapText="1"/>
      <protection/>
    </xf>
    <xf numFmtId="0" fontId="5" fillId="42" borderId="15" xfId="66" applyFont="1" applyFill="1" applyBorder="1" applyAlignment="1">
      <alignment horizontal="center" vertical="center" wrapText="1"/>
      <protection/>
    </xf>
    <xf numFmtId="0" fontId="5" fillId="42" borderId="29" xfId="66" applyFont="1" applyFill="1" applyBorder="1" applyAlignment="1">
      <alignment horizontal="center" vertical="center" wrapText="1"/>
      <protection/>
    </xf>
    <xf numFmtId="0" fontId="5" fillId="42" borderId="30" xfId="66" applyFont="1" applyFill="1" applyBorder="1" applyAlignment="1">
      <alignment horizontal="center" vertical="center" wrapText="1"/>
      <protection/>
    </xf>
    <xf numFmtId="0" fontId="2" fillId="42" borderId="42" xfId="66" applyFill="1" applyBorder="1" applyAlignment="1">
      <alignment horizontal="center" vertical="center"/>
      <protection/>
    </xf>
    <xf numFmtId="0" fontId="5" fillId="42" borderId="79" xfId="66" applyFont="1" applyFill="1" applyBorder="1" applyAlignment="1">
      <alignment horizontal="center"/>
      <protection/>
    </xf>
    <xf numFmtId="0" fontId="5" fillId="42" borderId="80" xfId="66" applyFont="1" applyFill="1" applyBorder="1" applyAlignment="1">
      <alignment horizontal="center"/>
      <protection/>
    </xf>
    <xf numFmtId="0" fontId="5" fillId="42" borderId="10" xfId="66" applyFont="1" applyFill="1" applyBorder="1" applyAlignment="1">
      <alignment horizontal="center"/>
      <protection/>
    </xf>
    <xf numFmtId="0" fontId="5" fillId="42" borderId="20" xfId="66" applyFont="1" applyFill="1" applyBorder="1" applyAlignment="1">
      <alignment/>
      <protection/>
    </xf>
    <xf numFmtId="0" fontId="5" fillId="42" borderId="21" xfId="66" applyFont="1" applyFill="1" applyBorder="1" applyAlignment="1">
      <alignment/>
      <protection/>
    </xf>
    <xf numFmtId="0" fontId="5" fillId="42" borderId="23" xfId="66" applyFont="1" applyFill="1" applyBorder="1" applyAlignment="1">
      <alignment/>
      <protection/>
    </xf>
    <xf numFmtId="0" fontId="5" fillId="42" borderId="23" xfId="66" applyFont="1" applyFill="1" applyBorder="1" applyAlignment="1">
      <alignment horizontal="center" vertical="center" wrapText="1"/>
      <protection/>
    </xf>
    <xf numFmtId="0" fontId="2" fillId="42" borderId="65" xfId="66" applyFill="1" applyBorder="1" applyAlignment="1">
      <alignment/>
      <protection/>
    </xf>
    <xf numFmtId="0" fontId="2" fillId="0" borderId="65" xfId="66" applyFill="1" applyBorder="1" applyAlignment="1">
      <alignment/>
      <protection/>
    </xf>
    <xf numFmtId="4" fontId="5" fillId="42" borderId="29" xfId="66" applyNumberFormat="1" applyFont="1" applyFill="1" applyBorder="1" applyAlignment="1">
      <alignment horizontal="center" vertical="center" wrapText="1"/>
      <protection/>
    </xf>
    <xf numFmtId="4" fontId="5" fillId="42" borderId="30" xfId="66" applyNumberFormat="1" applyFont="1" applyFill="1" applyBorder="1" applyAlignment="1">
      <alignment horizontal="center" vertical="center" wrapText="1"/>
      <protection/>
    </xf>
    <xf numFmtId="0" fontId="2" fillId="42" borderId="20" xfId="66" applyFont="1" applyFill="1" applyBorder="1" applyAlignment="1">
      <alignment/>
      <protection/>
    </xf>
    <xf numFmtId="0" fontId="2" fillId="42" borderId="21" xfId="66" applyFont="1" applyFill="1" applyBorder="1" applyAlignment="1">
      <alignment/>
      <protection/>
    </xf>
    <xf numFmtId="0" fontId="2" fillId="42" borderId="41" xfId="66" applyFont="1" applyFill="1" applyBorder="1" applyAlignment="1">
      <alignment/>
      <protection/>
    </xf>
    <xf numFmtId="0" fontId="2" fillId="42" borderId="49" xfId="66" applyFont="1" applyFill="1" applyBorder="1" applyAlignment="1">
      <alignment/>
      <protection/>
    </xf>
    <xf numFmtId="0" fontId="2" fillId="42" borderId="42" xfId="66" applyFont="1" applyFill="1" applyBorder="1" applyAlignment="1">
      <alignment/>
      <protection/>
    </xf>
    <xf numFmtId="0" fontId="2" fillId="42" borderId="58" xfId="66" applyFont="1" applyFill="1" applyBorder="1" applyAlignment="1">
      <alignment/>
      <protection/>
    </xf>
    <xf numFmtId="0" fontId="2" fillId="42" borderId="13" xfId="66" applyFill="1" applyBorder="1" applyAlignment="1">
      <alignment/>
      <protection/>
    </xf>
    <xf numFmtId="0" fontId="2" fillId="0" borderId="16" xfId="66" applyFill="1" applyBorder="1" applyAlignment="1">
      <alignment horizontal="center"/>
      <protection/>
    </xf>
    <xf numFmtId="0" fontId="2" fillId="0" borderId="0" xfId="66" applyFill="1" applyAlignment="1">
      <alignment horizontal="right"/>
      <protection/>
    </xf>
    <xf numFmtId="0" fontId="5" fillId="42" borderId="16" xfId="66" applyFont="1" applyFill="1" applyBorder="1" applyAlignment="1">
      <alignment horizontal="center" vertical="center" wrapText="1"/>
      <protection/>
    </xf>
    <xf numFmtId="0" fontId="5" fillId="42" borderId="54" xfId="66" applyFont="1" applyFill="1" applyBorder="1" applyAlignment="1">
      <alignment horizontal="center" vertical="center" wrapText="1"/>
      <protection/>
    </xf>
    <xf numFmtId="0" fontId="2" fillId="42" borderId="13" xfId="66" applyFill="1" applyBorder="1">
      <alignment/>
      <protection/>
    </xf>
    <xf numFmtId="0" fontId="2" fillId="42" borderId="23" xfId="66" applyFill="1" applyBorder="1">
      <alignment/>
      <protection/>
    </xf>
    <xf numFmtId="0" fontId="5" fillId="42" borderId="24" xfId="66" applyFont="1" applyFill="1" applyBorder="1">
      <alignment/>
      <protection/>
    </xf>
    <xf numFmtId="0" fontId="2" fillId="42" borderId="15" xfId="66" applyFill="1" applyBorder="1">
      <alignment/>
      <protection/>
    </xf>
    <xf numFmtId="0" fontId="2" fillId="42" borderId="42" xfId="66" applyFill="1" applyBorder="1" applyAlignment="1">
      <alignment horizontal="center" vertical="center" wrapText="1"/>
      <protection/>
    </xf>
    <xf numFmtId="0" fontId="2" fillId="42" borderId="85" xfId="66" applyFill="1" applyBorder="1">
      <alignment/>
      <protection/>
    </xf>
    <xf numFmtId="0" fontId="5" fillId="42" borderId="84" xfId="66" applyFont="1" applyFill="1" applyBorder="1" applyAlignment="1">
      <alignment horizontal="center" vertical="center" wrapText="1"/>
      <protection/>
    </xf>
    <xf numFmtId="0" fontId="5" fillId="42" borderId="20" xfId="66" applyFont="1" applyFill="1" applyBorder="1">
      <alignment/>
      <protection/>
    </xf>
    <xf numFmtId="0" fontId="5" fillId="42" borderId="21" xfId="66" applyFont="1" applyFill="1" applyBorder="1">
      <alignment/>
      <protection/>
    </xf>
    <xf numFmtId="0" fontId="5" fillId="42" borderId="92" xfId="66" applyFont="1" applyFill="1" applyBorder="1">
      <alignment/>
      <protection/>
    </xf>
    <xf numFmtId="0" fontId="5" fillId="42" borderId="23" xfId="66" applyFont="1" applyFill="1" applyBorder="1">
      <alignment/>
      <protection/>
    </xf>
    <xf numFmtId="0" fontId="2" fillId="0" borderId="65" xfId="66" applyBorder="1">
      <alignment/>
      <protection/>
    </xf>
    <xf numFmtId="0" fontId="2" fillId="0" borderId="65" xfId="66" applyFill="1" applyBorder="1">
      <alignment/>
      <protection/>
    </xf>
    <xf numFmtId="4" fontId="2" fillId="42" borderId="23" xfId="66" applyNumberFormat="1" applyFill="1" applyBorder="1">
      <alignment/>
      <protection/>
    </xf>
    <xf numFmtId="4" fontId="5" fillId="42" borderId="24" xfId="66" applyNumberFormat="1" applyFont="1" applyFill="1" applyBorder="1">
      <alignment/>
      <protection/>
    </xf>
    <xf numFmtId="4" fontId="2" fillId="42" borderId="15" xfId="66" applyNumberFormat="1" applyFill="1" applyBorder="1">
      <alignment/>
      <protection/>
    </xf>
    <xf numFmtId="4" fontId="5" fillId="42" borderId="54" xfId="66" applyNumberFormat="1" applyFont="1" applyFill="1" applyBorder="1" applyAlignment="1">
      <alignment horizontal="center" vertical="center" wrapText="1"/>
      <protection/>
    </xf>
    <xf numFmtId="0" fontId="5" fillId="42" borderId="49" xfId="66" applyFont="1" applyFill="1" applyBorder="1" applyAlignment="1">
      <alignment/>
      <protection/>
    </xf>
    <xf numFmtId="0" fontId="5" fillId="42" borderId="18" xfId="66" applyFont="1" applyFill="1" applyBorder="1" applyAlignment="1">
      <alignment/>
      <protection/>
    </xf>
    <xf numFmtId="0" fontId="5" fillId="42" borderId="22" xfId="66" applyFont="1" applyFill="1" applyBorder="1" applyAlignment="1">
      <alignment/>
      <protection/>
    </xf>
    <xf numFmtId="0" fontId="5" fillId="42" borderId="12" xfId="66" applyFont="1" applyFill="1" applyBorder="1" applyAlignment="1">
      <alignment/>
      <protection/>
    </xf>
    <xf numFmtId="0" fontId="0" fillId="42" borderId="34" xfId="48" applyFont="1" applyFill="1" applyBorder="1" applyAlignment="1">
      <alignment horizontal="center" vertical="center" wrapText="1"/>
      <protection/>
    </xf>
    <xf numFmtId="0" fontId="0" fillId="42" borderId="33" xfId="48" applyFont="1" applyFill="1" applyBorder="1" applyAlignment="1">
      <alignment horizontal="center" vertical="center" wrapText="1"/>
      <protection/>
    </xf>
    <xf numFmtId="0" fontId="6" fillId="42" borderId="18" xfId="48" applyFont="1" applyFill="1" applyBorder="1" applyAlignment="1">
      <alignment horizontal="center" vertical="center"/>
      <protection/>
    </xf>
    <xf numFmtId="0" fontId="0" fillId="42" borderId="12" xfId="48" applyFont="1" applyFill="1" applyBorder="1" applyAlignment="1">
      <alignment horizontal="center"/>
      <protection/>
    </xf>
    <xf numFmtId="0" fontId="0" fillId="42" borderId="66" xfId="48" applyFont="1" applyFill="1" applyBorder="1" applyAlignment="1">
      <alignment horizontal="center"/>
      <protection/>
    </xf>
    <xf numFmtId="0" fontId="0" fillId="42" borderId="54" xfId="48" applyFont="1" applyFill="1" applyBorder="1" applyAlignment="1">
      <alignment horizontal="center"/>
      <protection/>
    </xf>
    <xf numFmtId="0" fontId="0" fillId="42" borderId="67" xfId="48" applyFont="1" applyFill="1" applyBorder="1" applyAlignment="1">
      <alignment horizontal="center"/>
      <protection/>
    </xf>
    <xf numFmtId="0" fontId="0" fillId="42" borderId="30" xfId="48" applyFont="1" applyFill="1" applyBorder="1" applyAlignment="1">
      <alignment horizontal="center"/>
      <protection/>
    </xf>
    <xf numFmtId="0" fontId="0" fillId="42" borderId="24" xfId="48" applyFont="1" applyFill="1" applyBorder="1" applyAlignment="1">
      <alignment horizontal="center"/>
      <protection/>
    </xf>
    <xf numFmtId="0" fontId="6" fillId="42" borderId="18" xfId="48" applyFont="1" applyFill="1" applyBorder="1" applyAlignment="1">
      <alignment horizontal="left" vertical="center"/>
      <protection/>
    </xf>
    <xf numFmtId="0" fontId="6" fillId="42" borderId="22" xfId="48" applyFont="1" applyFill="1" applyBorder="1" applyAlignment="1">
      <alignment horizontal="left" vertical="center"/>
      <protection/>
    </xf>
    <xf numFmtId="0" fontId="6" fillId="42" borderId="12" xfId="48" applyFont="1" applyFill="1" applyBorder="1" applyAlignment="1">
      <alignment horizontal="left" vertical="center"/>
      <protection/>
    </xf>
    <xf numFmtId="0" fontId="0" fillId="42" borderId="34" xfId="0" applyFont="1" applyFill="1" applyBorder="1" applyAlignment="1">
      <alignment horizontal="center" vertical="center" wrapText="1"/>
    </xf>
    <xf numFmtId="0" fontId="6" fillId="42" borderId="29" xfId="0" applyFont="1" applyFill="1" applyBorder="1" applyAlignment="1">
      <alignment horizontal="center" vertical="center"/>
    </xf>
    <xf numFmtId="0" fontId="6" fillId="42" borderId="54" xfId="0" applyFont="1" applyFill="1" applyBorder="1" applyAlignment="1">
      <alignment horizontal="center"/>
    </xf>
    <xf numFmtId="0" fontId="6" fillId="42" borderId="30" xfId="0" applyFont="1" applyFill="1" applyBorder="1" applyAlignment="1">
      <alignment horizontal="center"/>
    </xf>
    <xf numFmtId="0" fontId="6" fillId="42" borderId="47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left" vertical="center"/>
    </xf>
    <xf numFmtId="3" fontId="6" fillId="42" borderId="11" xfId="0" applyNumberFormat="1" applyFont="1" applyFill="1" applyBorder="1" applyAlignment="1">
      <alignment horizontal="left" vertical="center"/>
    </xf>
    <xf numFmtId="0" fontId="6" fillId="42" borderId="71" xfId="0" applyFont="1" applyFill="1" applyBorder="1" applyAlignment="1">
      <alignment horizontal="left" vertical="center"/>
    </xf>
    <xf numFmtId="0" fontId="6" fillId="42" borderId="29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3" fontId="2" fillId="0" borderId="0" xfId="69" applyNumberFormat="1">
      <alignment/>
      <protection/>
    </xf>
    <xf numFmtId="0" fontId="5" fillId="0" borderId="41" xfId="69" applyFont="1" applyFill="1" applyBorder="1">
      <alignment/>
      <protection/>
    </xf>
    <xf numFmtId="181" fontId="5" fillId="0" borderId="55" xfId="69" applyNumberFormat="1" applyFont="1" applyFill="1" applyBorder="1">
      <alignment/>
      <protection/>
    </xf>
    <xf numFmtId="181" fontId="5" fillId="0" borderId="53" xfId="69" applyNumberFormat="1" applyFont="1" applyFill="1" applyBorder="1">
      <alignment/>
      <protection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181" fontId="5" fillId="0" borderId="59" xfId="69" applyNumberFormat="1" applyFont="1" applyFill="1" applyBorder="1">
      <alignment/>
      <protection/>
    </xf>
    <xf numFmtId="4" fontId="13" fillId="36" borderId="29" xfId="69" applyNumberFormat="1" applyFont="1" applyFill="1" applyBorder="1">
      <alignment/>
      <protection/>
    </xf>
    <xf numFmtId="4" fontId="13" fillId="4" borderId="54" xfId="69" applyNumberFormat="1" applyFont="1" applyFill="1" applyBorder="1">
      <alignment/>
      <protection/>
    </xf>
    <xf numFmtId="4" fontId="13" fillId="0" borderId="54" xfId="69" applyNumberFormat="1" applyFont="1" applyFill="1" applyBorder="1">
      <alignment/>
      <protection/>
    </xf>
    <xf numFmtId="181" fontId="13" fillId="0" borderId="30" xfId="69" applyNumberFormat="1" applyFont="1" applyFill="1" applyBorder="1">
      <alignment/>
      <protection/>
    </xf>
    <xf numFmtId="4" fontId="5" fillId="0" borderId="0" xfId="66" applyNumberFormat="1" applyFont="1">
      <alignment/>
      <protection/>
    </xf>
    <xf numFmtId="0" fontId="32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7" fillId="0" borderId="0" xfId="0" applyFont="1" applyBorder="1" applyAlignment="1">
      <alignment horizontal="right"/>
    </xf>
    <xf numFmtId="0" fontId="52" fillId="0" borderId="0" xfId="0" applyFont="1" applyFill="1" applyAlignment="1">
      <alignment horizontal="center"/>
    </xf>
    <xf numFmtId="0" fontId="60" fillId="42" borderId="60" xfId="0" applyFont="1" applyFill="1" applyBorder="1" applyAlignment="1">
      <alignment horizontal="center"/>
    </xf>
    <xf numFmtId="0" fontId="60" fillId="42" borderId="82" xfId="0" applyFont="1" applyFill="1" applyBorder="1" applyAlignment="1">
      <alignment horizontal="center"/>
    </xf>
    <xf numFmtId="0" fontId="37" fillId="42" borderId="41" xfId="59" applyFont="1" applyFill="1" applyBorder="1" applyAlignment="1">
      <alignment horizontal="center" vertical="center" wrapText="1"/>
      <protection/>
    </xf>
    <xf numFmtId="0" fontId="37" fillId="42" borderId="18" xfId="59" applyFont="1" applyFill="1" applyBorder="1" applyAlignment="1">
      <alignment horizontal="center" vertical="center" wrapText="1"/>
      <protection/>
    </xf>
    <xf numFmtId="0" fontId="37" fillId="42" borderId="58" xfId="59" applyFont="1" applyFill="1" applyBorder="1" applyAlignment="1">
      <alignment horizontal="center" vertical="center" wrapText="1"/>
      <protection/>
    </xf>
    <xf numFmtId="0" fontId="60" fillId="42" borderId="76" xfId="0" applyFont="1" applyFill="1" applyBorder="1" applyAlignment="1">
      <alignment horizontal="center"/>
    </xf>
    <xf numFmtId="0" fontId="47" fillId="42" borderId="19" xfId="0" applyFont="1" applyFill="1" applyBorder="1" applyAlignment="1">
      <alignment horizontal="center" vertical="center" wrapText="1"/>
    </xf>
    <xf numFmtId="0" fontId="47" fillId="42" borderId="44" xfId="0" applyFont="1" applyFill="1" applyBorder="1" applyAlignment="1">
      <alignment horizontal="center" vertical="center" wrapText="1"/>
    </xf>
    <xf numFmtId="0" fontId="47" fillId="42" borderId="25" xfId="0" applyFont="1" applyFill="1" applyBorder="1" applyAlignment="1">
      <alignment horizontal="center" vertical="center" wrapText="1"/>
    </xf>
    <xf numFmtId="0" fontId="47" fillId="42" borderId="34" xfId="0" applyFont="1" applyFill="1" applyBorder="1" applyAlignment="1">
      <alignment horizontal="center" vertical="center" wrapText="1"/>
    </xf>
    <xf numFmtId="0" fontId="47" fillId="42" borderId="53" xfId="0" applyFont="1" applyFill="1" applyBorder="1" applyAlignment="1">
      <alignment horizontal="center" vertical="center" wrapText="1"/>
    </xf>
    <xf numFmtId="0" fontId="47" fillId="42" borderId="39" xfId="0" applyFont="1" applyFill="1" applyBorder="1" applyAlignment="1">
      <alignment horizontal="center" vertical="center" wrapText="1"/>
    </xf>
    <xf numFmtId="0" fontId="0" fillId="42" borderId="53" xfId="0" applyFill="1" applyBorder="1" applyAlignment="1">
      <alignment horizontal="center" vertical="center" wrapText="1"/>
    </xf>
    <xf numFmtId="0" fontId="0" fillId="42" borderId="39" xfId="0" applyFill="1" applyBorder="1" applyAlignment="1">
      <alignment horizontal="center" vertical="center" wrapText="1"/>
    </xf>
    <xf numFmtId="0" fontId="37" fillId="0" borderId="0" xfId="59" applyFont="1" applyBorder="1" applyAlignment="1">
      <alignment horizontal="right"/>
      <protection/>
    </xf>
    <xf numFmtId="0" fontId="59" fillId="0" borderId="0" xfId="0" applyFont="1" applyAlignment="1">
      <alignment horizontal="center" vertical="center" wrapText="1"/>
    </xf>
    <xf numFmtId="0" fontId="43" fillId="42" borderId="81" xfId="59" applyFont="1" applyFill="1" applyBorder="1" applyAlignment="1">
      <alignment horizontal="center" vertical="center" wrapText="1"/>
      <protection/>
    </xf>
    <xf numFmtId="0" fontId="43" fillId="42" borderId="60" xfId="59" applyFont="1" applyFill="1" applyBorder="1" applyAlignment="1">
      <alignment horizontal="center" vertical="center" wrapText="1"/>
      <protection/>
    </xf>
    <xf numFmtId="0" fontId="43" fillId="42" borderId="11" xfId="59" applyFont="1" applyFill="1" applyBorder="1" applyAlignment="1">
      <alignment horizontal="center" vertical="center" wrapText="1"/>
      <protection/>
    </xf>
    <xf numFmtId="0" fontId="43" fillId="42" borderId="25" xfId="59" applyFont="1" applyFill="1" applyBorder="1" applyAlignment="1">
      <alignment horizontal="center" vertical="center" wrapText="1"/>
      <protection/>
    </xf>
    <xf numFmtId="0" fontId="43" fillId="42" borderId="38" xfId="59" applyFont="1" applyFill="1" applyBorder="1" applyAlignment="1">
      <alignment horizontal="center" vertical="center" wrapText="1"/>
      <protection/>
    </xf>
    <xf numFmtId="0" fontId="43" fillId="42" borderId="34" xfId="59" applyFont="1" applyFill="1" applyBorder="1" applyAlignment="1">
      <alignment horizontal="center" vertical="center" wrapText="1"/>
      <protection/>
    </xf>
    <xf numFmtId="0" fontId="46" fillId="42" borderId="60" xfId="0" applyFont="1" applyFill="1" applyBorder="1" applyAlignment="1">
      <alignment horizontal="center" vertical="center" wrapText="1"/>
    </xf>
    <xf numFmtId="0" fontId="46" fillId="42" borderId="25" xfId="0" applyFont="1" applyFill="1" applyBorder="1" applyAlignment="1">
      <alignment horizontal="center" vertical="center" wrapText="1"/>
    </xf>
    <xf numFmtId="0" fontId="46" fillId="42" borderId="34" xfId="0" applyFont="1" applyFill="1" applyBorder="1" applyAlignment="1">
      <alignment horizontal="center" vertical="center" wrapText="1"/>
    </xf>
    <xf numFmtId="0" fontId="47" fillId="42" borderId="60" xfId="0" applyFont="1" applyFill="1" applyBorder="1" applyAlignment="1">
      <alignment horizontal="center" vertical="center" wrapText="1"/>
    </xf>
    <xf numFmtId="0" fontId="0" fillId="42" borderId="60" xfId="0" applyFill="1" applyBorder="1" applyAlignment="1">
      <alignment horizontal="left" vertical="center"/>
    </xf>
    <xf numFmtId="0" fontId="0" fillId="42" borderId="60" xfId="0" applyFill="1" applyBorder="1" applyAlignment="1">
      <alignment horizontal="center"/>
    </xf>
    <xf numFmtId="0" fontId="0" fillId="42" borderId="25" xfId="0" applyFill="1" applyBorder="1" applyAlignment="1">
      <alignment horizontal="center" vertical="center" wrapText="1"/>
    </xf>
    <xf numFmtId="0" fontId="0" fillId="42" borderId="34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0" fontId="47" fillId="42" borderId="25" xfId="0" applyFont="1" applyFill="1" applyBorder="1" applyAlignment="1">
      <alignment horizontal="left"/>
    </xf>
    <xf numFmtId="0" fontId="62" fillId="42" borderId="25" xfId="0" applyFont="1" applyFill="1" applyBorder="1" applyAlignment="1">
      <alignment/>
    </xf>
    <xf numFmtId="0" fontId="55" fillId="42" borderId="25" xfId="0" applyFont="1" applyFill="1" applyBorder="1" applyAlignment="1">
      <alignment/>
    </xf>
    <xf numFmtId="0" fontId="13" fillId="0" borderId="42" xfId="59" applyFont="1" applyBorder="1" applyAlignment="1">
      <alignment horizontal="left" wrapText="1"/>
      <protection/>
    </xf>
    <xf numFmtId="0" fontId="13" fillId="0" borderId="0" xfId="59" applyFont="1" applyBorder="1" applyAlignment="1">
      <alignment horizontal="left" wrapText="1"/>
      <protection/>
    </xf>
    <xf numFmtId="0" fontId="37" fillId="42" borderId="25" xfId="61" applyFont="1" applyFill="1" applyBorder="1" applyAlignment="1">
      <alignment horizontal="center" vertical="center"/>
      <protection/>
    </xf>
    <xf numFmtId="0" fontId="46" fillId="42" borderId="25" xfId="61" applyFont="1" applyFill="1" applyBorder="1" applyAlignment="1">
      <alignment horizontal="center" vertical="center" wrapText="1"/>
      <protection/>
    </xf>
    <xf numFmtId="0" fontId="45" fillId="42" borderId="25" xfId="61" applyFont="1" applyFill="1" applyBorder="1" applyAlignment="1">
      <alignment horizontal="center" vertical="center" wrapText="1"/>
      <protection/>
    </xf>
    <xf numFmtId="0" fontId="37" fillId="42" borderId="52" xfId="59" applyFont="1" applyFill="1" applyBorder="1" applyAlignment="1">
      <alignment horizontal="center" vertical="center"/>
      <protection/>
    </xf>
    <xf numFmtId="0" fontId="37" fillId="42" borderId="70" xfId="59" applyFont="1" applyFill="1" applyBorder="1" applyAlignment="1">
      <alignment horizontal="center" vertical="center"/>
      <protection/>
    </xf>
    <xf numFmtId="0" fontId="37" fillId="42" borderId="46" xfId="59" applyFont="1" applyFill="1" applyBorder="1" applyAlignment="1">
      <alignment horizontal="center" vertical="center"/>
      <protection/>
    </xf>
    <xf numFmtId="0" fontId="45" fillId="42" borderId="25" xfId="59" applyFont="1" applyFill="1" applyBorder="1" applyAlignment="1">
      <alignment horizontal="center" vertical="center" wrapText="1"/>
      <protection/>
    </xf>
    <xf numFmtId="0" fontId="46" fillId="42" borderId="25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horizontal="left"/>
      <protection/>
    </xf>
    <xf numFmtId="0" fontId="52" fillId="42" borderId="78" xfId="49" applyFont="1" applyFill="1" applyBorder="1" applyAlignment="1">
      <alignment horizontal="center" vertical="center"/>
      <protection/>
    </xf>
    <xf numFmtId="0" fontId="52" fillId="42" borderId="94" xfId="49" applyFont="1" applyFill="1" applyBorder="1" applyAlignment="1">
      <alignment horizontal="center" vertical="center"/>
      <protection/>
    </xf>
    <xf numFmtId="0" fontId="52" fillId="42" borderId="48" xfId="49" applyFont="1" applyFill="1" applyBorder="1" applyAlignment="1">
      <alignment horizontal="center" vertical="center"/>
      <protection/>
    </xf>
    <xf numFmtId="0" fontId="46" fillId="42" borderId="25" xfId="49" applyFont="1" applyFill="1" applyBorder="1" applyAlignment="1">
      <alignment horizontal="center" vertical="center" wrapText="1"/>
      <protection/>
    </xf>
    <xf numFmtId="0" fontId="47" fillId="42" borderId="25" xfId="49" applyFont="1" applyFill="1" applyBorder="1" applyAlignment="1">
      <alignment horizontal="center" vertical="center" wrapText="1"/>
      <protection/>
    </xf>
    <xf numFmtId="0" fontId="52" fillId="0" borderId="0" xfId="59" applyFont="1" applyBorder="1" applyAlignment="1">
      <alignment horizontal="center" vertical="center"/>
      <protection/>
    </xf>
    <xf numFmtId="0" fontId="49" fillId="42" borderId="25" xfId="49" applyFont="1" applyFill="1" applyBorder="1" applyAlignment="1">
      <alignment horizontal="center" vertical="center"/>
      <protection/>
    </xf>
    <xf numFmtId="0" fontId="48" fillId="0" borderId="0" xfId="59" applyFont="1" applyFill="1" applyAlignment="1">
      <alignment horizontal="center" vertical="center"/>
      <protection/>
    </xf>
    <xf numFmtId="0" fontId="55" fillId="42" borderId="52" xfId="0" applyFont="1" applyFill="1" applyBorder="1" applyAlignment="1">
      <alignment horizontal="center" vertical="center" wrapText="1"/>
    </xf>
    <xf numFmtId="0" fontId="55" fillId="42" borderId="70" xfId="0" applyFont="1" applyFill="1" applyBorder="1" applyAlignment="1">
      <alignment horizontal="center" vertical="center" wrapText="1"/>
    </xf>
    <xf numFmtId="0" fontId="55" fillId="42" borderId="46" xfId="0" applyFont="1" applyFill="1" applyBorder="1" applyAlignment="1">
      <alignment horizontal="center" vertical="center" wrapText="1"/>
    </xf>
    <xf numFmtId="172" fontId="37" fillId="42" borderId="25" xfId="0" applyNumberFormat="1" applyFont="1" applyFill="1" applyBorder="1" applyAlignment="1">
      <alignment horizontal="center" vertical="center"/>
    </xf>
    <xf numFmtId="0" fontId="37" fillId="42" borderId="25" xfId="0" applyFont="1" applyFill="1" applyBorder="1" applyAlignment="1">
      <alignment horizontal="center" vertical="center"/>
    </xf>
    <xf numFmtId="172" fontId="47" fillId="42" borderId="25" xfId="0" applyNumberFormat="1" applyFont="1" applyFill="1" applyBorder="1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 wrapText="1"/>
    </xf>
    <xf numFmtId="0" fontId="6" fillId="42" borderId="62" xfId="0" applyFont="1" applyFill="1" applyBorder="1" applyAlignment="1">
      <alignment horizontal="center"/>
    </xf>
    <xf numFmtId="0" fontId="6" fillId="42" borderId="61" xfId="0" applyFont="1" applyFill="1" applyBorder="1" applyAlignment="1">
      <alignment horizontal="center"/>
    </xf>
    <xf numFmtId="0" fontId="6" fillId="42" borderId="63" xfId="0" applyFont="1" applyFill="1" applyBorder="1" applyAlignment="1">
      <alignment horizontal="center"/>
    </xf>
    <xf numFmtId="0" fontId="6" fillId="42" borderId="79" xfId="0" applyFont="1" applyFill="1" applyBorder="1" applyAlignment="1">
      <alignment horizontal="center" vertical="center" wrapText="1"/>
    </xf>
    <xf numFmtId="0" fontId="6" fillId="42" borderId="88" xfId="0" applyFont="1" applyFill="1" applyBorder="1" applyAlignment="1">
      <alignment horizontal="center" vertical="center"/>
    </xf>
    <xf numFmtId="0" fontId="6" fillId="42" borderId="77" xfId="0" applyFont="1" applyFill="1" applyBorder="1" applyAlignment="1">
      <alignment horizontal="center" wrapText="1"/>
    </xf>
    <xf numFmtId="0" fontId="6" fillId="42" borderId="61" xfId="0" applyFont="1" applyFill="1" applyBorder="1" applyAlignment="1">
      <alignment horizontal="center" wrapText="1"/>
    </xf>
    <xf numFmtId="0" fontId="6" fillId="42" borderId="63" xfId="0" applyFont="1" applyFill="1" applyBorder="1" applyAlignment="1">
      <alignment horizontal="center" wrapText="1"/>
    </xf>
    <xf numFmtId="0" fontId="6" fillId="42" borderId="65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76" xfId="0" applyFont="1" applyFill="1" applyBorder="1" applyAlignment="1">
      <alignment horizontal="center" wrapText="1"/>
    </xf>
    <xf numFmtId="0" fontId="61" fillId="42" borderId="85" xfId="0" applyFont="1" applyFill="1" applyBorder="1" applyAlignment="1">
      <alignment horizontal="center" vertical="center" wrapText="1"/>
    </xf>
    <xf numFmtId="0" fontId="61" fillId="42" borderId="84" xfId="0" applyFont="1" applyFill="1" applyBorder="1" applyAlignment="1">
      <alignment horizontal="center" vertical="center" wrapText="1"/>
    </xf>
    <xf numFmtId="49" fontId="73" fillId="31" borderId="23" xfId="0" applyNumberFormat="1" applyFont="1" applyFill="1" applyBorder="1" applyAlignment="1">
      <alignment horizontal="left" vertical="center" wrapText="1"/>
    </xf>
    <xf numFmtId="49" fontId="73" fillId="31" borderId="66" xfId="0" applyNumberFormat="1" applyFont="1" applyFill="1" applyBorder="1" applyAlignment="1">
      <alignment horizontal="left" vertical="center" wrapText="1"/>
    </xf>
    <xf numFmtId="0" fontId="2" fillId="0" borderId="22" xfId="66" applyFill="1" applyBorder="1" applyAlignment="1">
      <alignment horizontal="center" vertical="center"/>
      <protection/>
    </xf>
    <xf numFmtId="0" fontId="2" fillId="0" borderId="65" xfId="66" applyFill="1" applyBorder="1" applyAlignment="1">
      <alignment horizontal="center" vertical="center"/>
      <protection/>
    </xf>
    <xf numFmtId="0" fontId="2" fillId="0" borderId="49" xfId="66" applyFill="1" applyBorder="1" applyAlignment="1">
      <alignment horizontal="center" vertical="center"/>
      <protection/>
    </xf>
    <xf numFmtId="0" fontId="2" fillId="0" borderId="42" xfId="66" applyFont="1" applyFill="1" applyBorder="1" applyAlignment="1">
      <alignment horizontal="center" vertical="center"/>
      <protection/>
    </xf>
    <xf numFmtId="0" fontId="2" fillId="0" borderId="65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5" fillId="42" borderId="13" xfId="66" applyFont="1" applyFill="1" applyBorder="1" applyAlignment="1">
      <alignment horizontal="center" vertical="center" wrapText="1"/>
      <protection/>
    </xf>
    <xf numFmtId="0" fontId="5" fillId="42" borderId="16" xfId="66" applyFont="1" applyFill="1" applyBorder="1" applyAlignment="1">
      <alignment horizontal="center" vertical="center" wrapText="1"/>
      <protection/>
    </xf>
    <xf numFmtId="0" fontId="6" fillId="42" borderId="76" xfId="0" applyFont="1" applyFill="1" applyBorder="1" applyAlignment="1">
      <alignment horizontal="center" vertical="center" wrapText="1"/>
    </xf>
    <xf numFmtId="0" fontId="6" fillId="42" borderId="44" xfId="0" applyFont="1" applyFill="1" applyBorder="1" applyAlignment="1">
      <alignment horizontal="center" vertical="center" wrapText="1"/>
    </xf>
    <xf numFmtId="0" fontId="6" fillId="42" borderId="60" xfId="0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0" fontId="6" fillId="42" borderId="77" xfId="0" applyFont="1" applyFill="1" applyBorder="1" applyAlignment="1">
      <alignment horizontal="center" vertical="center" wrapText="1"/>
    </xf>
    <xf numFmtId="0" fontId="6" fillId="42" borderId="33" xfId="0" applyFont="1" applyFill="1" applyBorder="1" applyAlignment="1">
      <alignment horizontal="center" vertical="center" wrapText="1"/>
    </xf>
    <xf numFmtId="0" fontId="6" fillId="42" borderId="41" xfId="0" applyFont="1" applyFill="1" applyBorder="1" applyAlignment="1">
      <alignment horizontal="center" vertical="center" wrapText="1"/>
    </xf>
    <xf numFmtId="0" fontId="6" fillId="42" borderId="58" xfId="0" applyFont="1" applyFill="1" applyBorder="1" applyAlignment="1">
      <alignment horizontal="center" vertical="center" wrapText="1"/>
    </xf>
    <xf numFmtId="0" fontId="6" fillId="42" borderId="13" xfId="48" applyFont="1" applyFill="1" applyBorder="1" applyAlignment="1">
      <alignment horizontal="center" vertical="center" wrapText="1"/>
      <protection/>
    </xf>
    <xf numFmtId="0" fontId="6" fillId="42" borderId="65" xfId="48" applyFont="1" applyFill="1" applyBorder="1" applyAlignment="1">
      <alignment horizontal="center" vertical="center" wrapText="1"/>
      <protection/>
    </xf>
    <xf numFmtId="0" fontId="6" fillId="42" borderId="16" xfId="48" applyFont="1" applyFill="1" applyBorder="1" applyAlignment="1">
      <alignment horizontal="center" vertical="center" wrapText="1"/>
      <protection/>
    </xf>
    <xf numFmtId="0" fontId="6" fillId="42" borderId="14" xfId="48" applyFont="1" applyFill="1" applyBorder="1" applyAlignment="1">
      <alignment horizontal="center" vertical="center" wrapText="1"/>
      <protection/>
    </xf>
    <xf numFmtId="0" fontId="6" fillId="42" borderId="0" xfId="48" applyFont="1" applyFill="1" applyBorder="1" applyAlignment="1">
      <alignment horizontal="center" vertical="center" wrapText="1"/>
      <protection/>
    </xf>
    <xf numFmtId="0" fontId="6" fillId="42" borderId="17" xfId="48" applyFont="1" applyFill="1" applyBorder="1" applyAlignment="1">
      <alignment horizontal="center" vertical="center" wrapText="1"/>
      <protection/>
    </xf>
    <xf numFmtId="0" fontId="42" fillId="42" borderId="97" xfId="48" applyFont="1" applyFill="1" applyBorder="1" applyAlignment="1">
      <alignment horizontal="center" vertical="center" wrapText="1"/>
      <protection/>
    </xf>
    <xf numFmtId="0" fontId="0" fillId="42" borderId="70" xfId="48" applyFill="1" applyBorder="1" applyAlignment="1">
      <alignment horizontal="center" vertical="center"/>
      <protection/>
    </xf>
    <xf numFmtId="0" fontId="0" fillId="42" borderId="96" xfId="48" applyFill="1" applyBorder="1" applyAlignment="1">
      <alignment horizontal="center" vertical="center"/>
      <protection/>
    </xf>
    <xf numFmtId="0" fontId="42" fillId="42" borderId="80" xfId="48" applyFont="1" applyFill="1" applyBorder="1" applyAlignment="1">
      <alignment horizontal="center" vertical="center" wrapText="1"/>
      <protection/>
    </xf>
    <xf numFmtId="0" fontId="0" fillId="42" borderId="93" xfId="48" applyFill="1" applyBorder="1" applyAlignment="1">
      <alignment horizontal="center" vertical="center"/>
      <protection/>
    </xf>
    <xf numFmtId="0" fontId="0" fillId="42" borderId="89" xfId="48" applyFill="1" applyBorder="1" applyAlignment="1">
      <alignment horizontal="center" vertical="center"/>
      <protection/>
    </xf>
    <xf numFmtId="0" fontId="0" fillId="42" borderId="51" xfId="48" applyFont="1" applyFill="1" applyBorder="1" applyAlignment="1">
      <alignment horizontal="center" vertical="center" wrapText="1"/>
      <protection/>
    </xf>
    <xf numFmtId="0" fontId="0" fillId="42" borderId="98" xfId="48" applyFill="1" applyBorder="1" applyAlignment="1">
      <alignment vertical="center"/>
      <protection/>
    </xf>
    <xf numFmtId="0" fontId="0" fillId="42" borderId="45" xfId="48" applyFont="1" applyFill="1" applyBorder="1" applyAlignment="1">
      <alignment horizontal="center"/>
      <protection/>
    </xf>
    <xf numFmtId="0" fontId="0" fillId="42" borderId="56" xfId="48" applyFill="1" applyBorder="1" applyAlignment="1">
      <alignment horizontal="center"/>
      <protection/>
    </xf>
    <xf numFmtId="0" fontId="0" fillId="42" borderId="19" xfId="48" applyFill="1" applyBorder="1" applyAlignment="1">
      <alignment horizontal="center"/>
      <protection/>
    </xf>
    <xf numFmtId="0" fontId="6" fillId="42" borderId="13" xfId="48" applyFont="1" applyFill="1" applyBorder="1" applyAlignment="1">
      <alignment horizontal="center" vertical="center" textRotation="90" wrapText="1"/>
      <protection/>
    </xf>
    <xf numFmtId="0" fontId="0" fillId="42" borderId="65" xfId="48" applyFill="1" applyBorder="1" applyAlignment="1">
      <alignment/>
      <protection/>
    </xf>
    <xf numFmtId="0" fontId="0" fillId="42" borderId="49" xfId="48" applyFill="1" applyBorder="1" applyAlignment="1">
      <alignment/>
      <protection/>
    </xf>
    <xf numFmtId="0" fontId="6" fillId="42" borderId="65" xfId="48" applyFont="1" applyFill="1" applyBorder="1" applyAlignment="1">
      <alignment horizontal="center" vertical="center"/>
      <protection/>
    </xf>
    <xf numFmtId="0" fontId="6" fillId="42" borderId="16" xfId="48" applyFont="1" applyFill="1" applyBorder="1" applyAlignment="1">
      <alignment horizontal="center" vertical="center"/>
      <protection/>
    </xf>
    <xf numFmtId="0" fontId="0" fillId="42" borderId="61" xfId="48" applyFont="1" applyFill="1" applyBorder="1" applyAlignment="1">
      <alignment horizontal="center" vertical="center" wrapText="1"/>
      <protection/>
    </xf>
    <xf numFmtId="0" fontId="0" fillId="42" borderId="76" xfId="48" applyFont="1" applyFill="1" applyBorder="1" applyAlignment="1">
      <alignment horizontal="center" vertical="center" wrapText="1"/>
      <protection/>
    </xf>
    <xf numFmtId="0" fontId="6" fillId="42" borderId="79" xfId="0" applyFont="1" applyFill="1" applyBorder="1" applyAlignment="1">
      <alignment horizontal="center" vertical="center" textRotation="90" wrapText="1"/>
    </xf>
    <xf numFmtId="0" fontId="0" fillId="42" borderId="88" xfId="0" applyFill="1" applyBorder="1" applyAlignment="1">
      <alignment/>
    </xf>
    <xf numFmtId="0" fontId="6" fillId="42" borderId="97" xfId="0" applyFont="1" applyFill="1" applyBorder="1" applyAlignment="1">
      <alignment horizontal="center" vertical="center" wrapText="1"/>
    </xf>
    <xf numFmtId="0" fontId="0" fillId="42" borderId="96" xfId="0" applyFill="1" applyBorder="1" applyAlignment="1">
      <alignment vertical="center" wrapText="1"/>
    </xf>
    <xf numFmtId="0" fontId="0" fillId="42" borderId="77" xfId="0" applyFont="1" applyFill="1" applyBorder="1" applyAlignment="1">
      <alignment horizontal="center"/>
    </xf>
    <xf numFmtId="0" fontId="0" fillId="42" borderId="61" xfId="0" applyFont="1" applyFill="1" applyBorder="1" applyAlignment="1">
      <alignment horizontal="center"/>
    </xf>
    <xf numFmtId="0" fontId="0" fillId="42" borderId="76" xfId="0" applyFont="1" applyFill="1" applyBorder="1" applyAlignment="1">
      <alignment horizontal="center"/>
    </xf>
    <xf numFmtId="0" fontId="38" fillId="42" borderId="80" xfId="0" applyFont="1" applyFill="1" applyBorder="1" applyAlignment="1">
      <alignment horizontal="center" vertical="center" wrapText="1"/>
    </xf>
    <xf numFmtId="0" fontId="0" fillId="42" borderId="89" xfId="0" applyFill="1" applyBorder="1" applyAlignment="1">
      <alignment vertical="center" wrapText="1"/>
    </xf>
    <xf numFmtId="0" fontId="5" fillId="0" borderId="62" xfId="66" applyFont="1" applyBorder="1" applyAlignment="1">
      <alignment horizontal="center"/>
      <protection/>
    </xf>
    <xf numFmtId="0" fontId="6" fillId="0" borderId="63" xfId="0" applyFont="1" applyBorder="1" applyAlignment="1">
      <alignment horizontal="center"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1 2" xfId="49"/>
    <cellStyle name="normální 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normální_Fondy" xfId="66"/>
    <cellStyle name="normální_HV suma" xfId="67"/>
    <cellStyle name="normální_MP2002" xfId="68"/>
    <cellStyle name="normální_OBV" xfId="69"/>
    <cellStyle name="normální_U19-25929CNAml" xfId="70"/>
    <cellStyle name="normální_U3-14580" xfId="71"/>
    <cellStyle name="normální_Vysledovka" xfId="72"/>
    <cellStyle name="Followed Hyperlink" xfId="73"/>
    <cellStyle name="Poznámka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85"/>
  <sheetViews>
    <sheetView view="pageBreakPreview" zoomScale="60" zoomScaleNormal="80" zoomScalePageLayoutView="0" workbookViewId="0" topLeftCell="A1">
      <pane ySplit="5" topLeftCell="A33" activePane="bottomLeft" state="frozen"/>
      <selection pane="topLeft" activeCell="A1" sqref="A1"/>
      <selection pane="bottomLeft" activeCell="V40" sqref="V40"/>
    </sheetView>
  </sheetViews>
  <sheetFormatPr defaultColWidth="9.140625" defaultRowHeight="12.75"/>
  <cols>
    <col min="1" max="1" width="12.140625" style="0" customWidth="1"/>
    <col min="2" max="2" width="7.7109375" style="0" customWidth="1"/>
    <col min="3" max="3" width="47.57421875" style="0" customWidth="1"/>
    <col min="4" max="4" width="13.8515625" style="0" bestFit="1" customWidth="1"/>
    <col min="5" max="5" width="15.140625" style="0" bestFit="1" customWidth="1"/>
    <col min="6" max="6" width="13.57421875" style="0" bestFit="1" customWidth="1"/>
    <col min="7" max="7" width="13.421875" style="0" bestFit="1" customWidth="1"/>
    <col min="8" max="8" width="11.421875" style="0" bestFit="1" customWidth="1"/>
    <col min="9" max="9" width="14.7109375" style="0" customWidth="1"/>
    <col min="10" max="10" width="4.8515625" style="0" customWidth="1"/>
    <col min="11" max="11" width="13.140625" style="0" bestFit="1" customWidth="1"/>
    <col min="12" max="12" width="13.57421875" style="0" bestFit="1" customWidth="1"/>
    <col min="13" max="13" width="15.28125" style="54" customWidth="1"/>
    <col min="14" max="14" width="13.57421875" style="0" customWidth="1"/>
    <col min="15" max="15" width="15.28125" style="0" bestFit="1" customWidth="1"/>
    <col min="16" max="16" width="7.8515625" style="0" customWidth="1"/>
    <col min="18" max="18" width="5.28125" style="0" customWidth="1"/>
    <col min="19" max="19" width="14.421875" style="0" customWidth="1"/>
  </cols>
  <sheetData>
    <row r="1" spans="1:16" ht="15.75">
      <c r="A1" s="94" t="s">
        <v>474</v>
      </c>
      <c r="B1" s="94"/>
      <c r="C1" s="52"/>
      <c r="D1" s="52"/>
      <c r="E1" s="52"/>
      <c r="G1" s="93"/>
      <c r="P1" s="804" t="s">
        <v>118</v>
      </c>
    </row>
    <row r="2" spans="1:14" ht="15.75">
      <c r="A2" s="53"/>
      <c r="B2" s="53"/>
      <c r="M2" s="52"/>
      <c r="N2" t="s">
        <v>317</v>
      </c>
    </row>
    <row r="3" ht="13.5" thickBot="1"/>
    <row r="4" spans="1:16" ht="98.25" customHeight="1" thickBot="1">
      <c r="A4" s="633"/>
      <c r="B4" s="634"/>
      <c r="C4" s="635"/>
      <c r="D4" s="636" t="s">
        <v>103</v>
      </c>
      <c r="E4" s="637" t="s">
        <v>104</v>
      </c>
      <c r="F4" s="391" t="s">
        <v>105</v>
      </c>
      <c r="G4" s="392" t="s">
        <v>106</v>
      </c>
      <c r="H4" s="393" t="s">
        <v>107</v>
      </c>
      <c r="I4" s="394" t="s">
        <v>108</v>
      </c>
      <c r="J4" s="395" t="s">
        <v>347</v>
      </c>
      <c r="K4" s="396" t="s">
        <v>109</v>
      </c>
      <c r="L4" s="391" t="s">
        <v>110</v>
      </c>
      <c r="M4" s="397" t="s">
        <v>111</v>
      </c>
      <c r="N4" s="524" t="s">
        <v>206</v>
      </c>
      <c r="O4" s="398" t="s">
        <v>436</v>
      </c>
      <c r="P4" s="391" t="s">
        <v>112</v>
      </c>
    </row>
    <row r="5" spans="1:16" ht="39" customHeight="1" thickBot="1">
      <c r="A5" s="638" t="s">
        <v>113</v>
      </c>
      <c r="B5" s="572" t="s">
        <v>464</v>
      </c>
      <c r="C5" s="639" t="s">
        <v>114</v>
      </c>
      <c r="D5" s="136" t="s">
        <v>210</v>
      </c>
      <c r="E5" s="84" t="s">
        <v>208</v>
      </c>
      <c r="F5" s="640"/>
      <c r="G5" s="641" t="s">
        <v>177</v>
      </c>
      <c r="H5" s="85" t="s">
        <v>178</v>
      </c>
      <c r="I5" s="85" t="s">
        <v>209</v>
      </c>
      <c r="J5" s="135"/>
      <c r="K5" s="640"/>
      <c r="L5" s="640"/>
      <c r="M5" s="642"/>
      <c r="N5" s="640"/>
      <c r="O5" s="135"/>
      <c r="P5" s="640" t="s">
        <v>179</v>
      </c>
    </row>
    <row r="6" spans="1:18" ht="13.5" thickBot="1">
      <c r="A6" s="643"/>
      <c r="B6" s="644"/>
      <c r="C6" s="645" t="s">
        <v>468</v>
      </c>
      <c r="D6" s="539">
        <f>'T2-EU '!E11</f>
        <v>1260000</v>
      </c>
      <c r="E6" s="539">
        <f>'T2-EU '!F11</f>
        <v>430000</v>
      </c>
      <c r="F6" s="541">
        <f>SUM(D6:E6)</f>
        <v>1690000</v>
      </c>
      <c r="G6" s="539">
        <f>'T2-EU '!G11</f>
        <v>559218</v>
      </c>
      <c r="H6" s="542">
        <f>'T2-EU '!H11</f>
        <v>18900</v>
      </c>
      <c r="I6" s="542">
        <f>'T2-EU '!I11</f>
        <v>24655402</v>
      </c>
      <c r="J6" s="543"/>
      <c r="K6" s="544">
        <f>SUM(I6:J6)</f>
        <v>24655402</v>
      </c>
      <c r="L6" s="544">
        <f>SUM(G6,H6,K6)</f>
        <v>25233520</v>
      </c>
      <c r="M6" s="545">
        <f>SUM(F6,L6)</f>
        <v>26923520</v>
      </c>
      <c r="N6" s="544"/>
      <c r="O6" s="546">
        <f>SUM(M6,N6)</f>
        <v>26923520</v>
      </c>
      <c r="P6" s="622">
        <f>'T2-EU '!K11</f>
        <v>3</v>
      </c>
      <c r="R6" s="134"/>
    </row>
    <row r="7" spans="1:16" ht="12.75">
      <c r="A7" s="149" t="s">
        <v>426</v>
      </c>
      <c r="B7" s="602" t="s">
        <v>476</v>
      </c>
      <c r="C7" s="568" t="s">
        <v>477</v>
      </c>
      <c r="D7" s="234"/>
      <c r="E7" s="235">
        <v>50000</v>
      </c>
      <c r="F7" s="236">
        <f aca="true" t="shared" si="0" ref="F7:F17">SUM(D7:E7)</f>
        <v>50000</v>
      </c>
      <c r="G7" s="266"/>
      <c r="H7" s="266"/>
      <c r="I7" s="266">
        <v>2019247</v>
      </c>
      <c r="J7" s="238"/>
      <c r="K7" s="239">
        <f>SUM(I7:J7)</f>
        <v>2019247</v>
      </c>
      <c r="L7" s="569">
        <f>SUM(G7,H7,K7)</f>
        <v>2019247</v>
      </c>
      <c r="M7" s="570">
        <f>SUM(F7,L7)</f>
        <v>2069247</v>
      </c>
      <c r="N7" s="569"/>
      <c r="O7" s="571">
        <f>SUM(M7:N7)</f>
        <v>2069247</v>
      </c>
      <c r="P7" s="623"/>
    </row>
    <row r="8" spans="1:16" ht="12.75">
      <c r="A8" s="294" t="s">
        <v>411</v>
      </c>
      <c r="B8" s="603" t="s">
        <v>476</v>
      </c>
      <c r="C8" s="567" t="s">
        <v>419</v>
      </c>
      <c r="D8" s="242">
        <v>11075514</v>
      </c>
      <c r="E8" s="243">
        <v>756000</v>
      </c>
      <c r="F8" s="249">
        <f t="shared" si="0"/>
        <v>11831514</v>
      </c>
      <c r="G8" s="271">
        <v>4022715</v>
      </c>
      <c r="H8" s="271">
        <v>166133</v>
      </c>
      <c r="I8" s="271">
        <v>7717580</v>
      </c>
      <c r="J8" s="245"/>
      <c r="K8" s="246">
        <f aca="true" t="shared" si="1" ref="K8:K17">SUM(I8:J8)</f>
        <v>7717580</v>
      </c>
      <c r="L8" s="246">
        <f aca="true" t="shared" si="2" ref="L8:L18">SUM(G8,H8,K8)</f>
        <v>11906428</v>
      </c>
      <c r="M8" s="247">
        <f aca="true" t="shared" si="3" ref="M8:M18">SUM(F8,L8)</f>
        <v>23737942</v>
      </c>
      <c r="N8" s="246">
        <v>5295000</v>
      </c>
      <c r="O8" s="248">
        <f aca="true" t="shared" si="4" ref="O8:O18">SUM(M8:N8)</f>
        <v>29032942</v>
      </c>
      <c r="P8" s="299">
        <v>36.9</v>
      </c>
    </row>
    <row r="9" spans="1:16" ht="12.75">
      <c r="A9" s="294" t="s">
        <v>412</v>
      </c>
      <c r="B9" s="603" t="s">
        <v>476</v>
      </c>
      <c r="C9" s="567" t="s">
        <v>420</v>
      </c>
      <c r="D9" s="242">
        <v>128448</v>
      </c>
      <c r="E9" s="243">
        <v>250000</v>
      </c>
      <c r="F9" s="249">
        <f>SUM(D9:E9)</f>
        <v>378448</v>
      </c>
      <c r="G9" s="271">
        <v>128672</v>
      </c>
      <c r="H9" s="271">
        <v>1927</v>
      </c>
      <c r="I9" s="271">
        <v>1420345</v>
      </c>
      <c r="J9" s="597"/>
      <c r="K9" s="246">
        <f t="shared" si="1"/>
        <v>1420345</v>
      </c>
      <c r="L9" s="246">
        <f t="shared" si="2"/>
        <v>1550944</v>
      </c>
      <c r="M9" s="247">
        <f t="shared" si="3"/>
        <v>1929392</v>
      </c>
      <c r="N9" s="246"/>
      <c r="O9" s="248">
        <f t="shared" si="4"/>
        <v>1929392</v>
      </c>
      <c r="P9" s="299">
        <v>0.67</v>
      </c>
    </row>
    <row r="10" spans="1:16" ht="12.75">
      <c r="A10" s="294" t="s">
        <v>413</v>
      </c>
      <c r="B10" s="603" t="s">
        <v>476</v>
      </c>
      <c r="C10" s="567" t="s">
        <v>459</v>
      </c>
      <c r="D10" s="271">
        <v>9300000</v>
      </c>
      <c r="E10" s="244"/>
      <c r="F10" s="249">
        <f t="shared" si="0"/>
        <v>9300000</v>
      </c>
      <c r="G10" s="244">
        <v>3162000</v>
      </c>
      <c r="H10" s="244">
        <v>139500</v>
      </c>
      <c r="I10" s="235">
        <v>26959462</v>
      </c>
      <c r="J10" s="597"/>
      <c r="K10" s="246">
        <f t="shared" si="1"/>
        <v>26959462</v>
      </c>
      <c r="L10" s="246">
        <f t="shared" si="2"/>
        <v>30260962</v>
      </c>
      <c r="M10" s="247">
        <f t="shared" si="3"/>
        <v>39560962</v>
      </c>
      <c r="N10" s="246"/>
      <c r="O10" s="248">
        <f t="shared" si="4"/>
        <v>39560962</v>
      </c>
      <c r="P10" s="299">
        <v>42</v>
      </c>
    </row>
    <row r="11" spans="1:16" ht="12.75">
      <c r="A11" s="294" t="s">
        <v>414</v>
      </c>
      <c r="B11" s="603" t="s">
        <v>476</v>
      </c>
      <c r="C11" s="567" t="s">
        <v>421</v>
      </c>
      <c r="D11" s="244"/>
      <c r="E11" s="271">
        <v>30000</v>
      </c>
      <c r="F11" s="249">
        <f t="shared" si="0"/>
        <v>30000</v>
      </c>
      <c r="G11" s="244"/>
      <c r="H11" s="244"/>
      <c r="I11" s="244">
        <v>1234043</v>
      </c>
      <c r="J11" s="245"/>
      <c r="K11" s="246">
        <f t="shared" si="1"/>
        <v>1234043</v>
      </c>
      <c r="L11" s="246">
        <f t="shared" si="2"/>
        <v>1234043</v>
      </c>
      <c r="M11" s="247">
        <f t="shared" si="3"/>
        <v>1264043</v>
      </c>
      <c r="N11" s="246"/>
      <c r="O11" s="248">
        <f t="shared" si="4"/>
        <v>1264043</v>
      </c>
      <c r="P11" s="299">
        <v>1</v>
      </c>
    </row>
    <row r="12" spans="1:16" ht="12.75">
      <c r="A12" s="295" t="s">
        <v>414</v>
      </c>
      <c r="B12" s="574" t="s">
        <v>478</v>
      </c>
      <c r="C12" s="646" t="s">
        <v>421</v>
      </c>
      <c r="D12" s="620">
        <v>427560</v>
      </c>
      <c r="E12" s="620"/>
      <c r="F12" s="293">
        <f t="shared" si="0"/>
        <v>427560</v>
      </c>
      <c r="G12" s="620">
        <v>145370</v>
      </c>
      <c r="H12" s="620">
        <v>6413</v>
      </c>
      <c r="I12" s="620">
        <v>199957</v>
      </c>
      <c r="J12" s="289"/>
      <c r="K12" s="290">
        <f t="shared" si="1"/>
        <v>199957</v>
      </c>
      <c r="L12" s="290">
        <f t="shared" si="2"/>
        <v>351740</v>
      </c>
      <c r="M12" s="291">
        <f t="shared" si="3"/>
        <v>779300</v>
      </c>
      <c r="N12" s="290"/>
      <c r="O12" s="292">
        <f t="shared" si="4"/>
        <v>779300</v>
      </c>
      <c r="P12" s="300"/>
    </row>
    <row r="13" spans="1:16" s="134" customFormat="1" ht="12.75">
      <c r="A13" s="294" t="s">
        <v>460</v>
      </c>
      <c r="B13" s="603" t="s">
        <v>479</v>
      </c>
      <c r="C13" s="567" t="s">
        <v>461</v>
      </c>
      <c r="D13" s="271">
        <v>16599209</v>
      </c>
      <c r="E13" s="271">
        <v>2107000</v>
      </c>
      <c r="F13" s="249">
        <f t="shared" si="0"/>
        <v>18706209</v>
      </c>
      <c r="G13" s="271">
        <v>6360111</v>
      </c>
      <c r="H13" s="271">
        <v>248988</v>
      </c>
      <c r="I13" s="271">
        <v>30623302</v>
      </c>
      <c r="J13" s="243"/>
      <c r="K13" s="246">
        <f t="shared" si="1"/>
        <v>30623302</v>
      </c>
      <c r="L13" s="246">
        <f t="shared" si="2"/>
        <v>37232401</v>
      </c>
      <c r="M13" s="247">
        <f t="shared" si="3"/>
        <v>55938610</v>
      </c>
      <c r="N13" s="246"/>
      <c r="O13" s="248">
        <f t="shared" si="4"/>
        <v>55938610</v>
      </c>
      <c r="P13" s="299">
        <v>65.5</v>
      </c>
    </row>
    <row r="14" spans="1:16" s="134" customFormat="1" ht="12.75">
      <c r="A14" s="294" t="s">
        <v>415</v>
      </c>
      <c r="B14" s="603" t="s">
        <v>479</v>
      </c>
      <c r="C14" s="567" t="s">
        <v>422</v>
      </c>
      <c r="D14" s="271">
        <v>6379078</v>
      </c>
      <c r="E14" s="244"/>
      <c r="F14" s="249">
        <f t="shared" si="0"/>
        <v>6379078</v>
      </c>
      <c r="G14" s="244">
        <v>2168888</v>
      </c>
      <c r="H14" s="244">
        <v>95686</v>
      </c>
      <c r="I14" s="244"/>
      <c r="J14" s="243"/>
      <c r="K14" s="246">
        <f t="shared" si="1"/>
        <v>0</v>
      </c>
      <c r="L14" s="246">
        <f t="shared" si="2"/>
        <v>2264574</v>
      </c>
      <c r="M14" s="247">
        <f t="shared" si="3"/>
        <v>8643652</v>
      </c>
      <c r="N14" s="246"/>
      <c r="O14" s="248">
        <f t="shared" si="4"/>
        <v>8643652</v>
      </c>
      <c r="P14" s="299">
        <v>17.66</v>
      </c>
    </row>
    <row r="15" spans="1:16" s="134" customFormat="1" ht="12.75">
      <c r="A15" s="294" t="s">
        <v>416</v>
      </c>
      <c r="B15" s="603" t="s">
        <v>479</v>
      </c>
      <c r="C15" s="567" t="s">
        <v>423</v>
      </c>
      <c r="D15" s="271">
        <v>61910</v>
      </c>
      <c r="E15" s="244"/>
      <c r="F15" s="249">
        <f t="shared" si="0"/>
        <v>61910</v>
      </c>
      <c r="G15" s="271">
        <v>21049</v>
      </c>
      <c r="H15" s="271">
        <v>929</v>
      </c>
      <c r="I15" s="271">
        <v>86975</v>
      </c>
      <c r="J15" s="243"/>
      <c r="K15" s="246">
        <f t="shared" si="1"/>
        <v>86975</v>
      </c>
      <c r="L15" s="246">
        <f t="shared" si="2"/>
        <v>108953</v>
      </c>
      <c r="M15" s="247">
        <f t="shared" si="3"/>
        <v>170863</v>
      </c>
      <c r="N15" s="246"/>
      <c r="O15" s="248">
        <f t="shared" si="4"/>
        <v>170863</v>
      </c>
      <c r="P15" s="299">
        <v>1</v>
      </c>
    </row>
    <row r="16" spans="1:16" ht="12.75">
      <c r="A16" s="149" t="s">
        <v>475</v>
      </c>
      <c r="B16" s="602" t="s">
        <v>476</v>
      </c>
      <c r="C16" s="568" t="s">
        <v>480</v>
      </c>
      <c r="D16" s="244"/>
      <c r="E16" s="244"/>
      <c r="F16" s="249">
        <f t="shared" si="0"/>
        <v>0</v>
      </c>
      <c r="G16" s="244"/>
      <c r="H16" s="244"/>
      <c r="I16" s="266">
        <v>14400</v>
      </c>
      <c r="J16" s="245"/>
      <c r="K16" s="246">
        <f t="shared" si="1"/>
        <v>14400</v>
      </c>
      <c r="L16" s="246">
        <f t="shared" si="2"/>
        <v>14400</v>
      </c>
      <c r="M16" s="247">
        <f t="shared" si="3"/>
        <v>14400</v>
      </c>
      <c r="N16" s="246"/>
      <c r="O16" s="248">
        <f t="shared" si="4"/>
        <v>14400</v>
      </c>
      <c r="P16" s="623"/>
    </row>
    <row r="17" spans="1:16" s="134" customFormat="1" ht="12.75">
      <c r="A17" s="647" t="s">
        <v>417</v>
      </c>
      <c r="B17" s="605" t="s">
        <v>479</v>
      </c>
      <c r="C17" s="648" t="s">
        <v>424</v>
      </c>
      <c r="D17" s="649">
        <v>420000</v>
      </c>
      <c r="E17" s="649">
        <v>180000</v>
      </c>
      <c r="F17" s="598">
        <f t="shared" si="0"/>
        <v>600000</v>
      </c>
      <c r="G17" s="649">
        <v>150000</v>
      </c>
      <c r="H17" s="649"/>
      <c r="I17" s="650">
        <v>3250000</v>
      </c>
      <c r="J17" s="599"/>
      <c r="K17" s="246">
        <f t="shared" si="1"/>
        <v>3250000</v>
      </c>
      <c r="L17" s="246">
        <f t="shared" si="2"/>
        <v>3400000</v>
      </c>
      <c r="M17" s="247">
        <f t="shared" si="3"/>
        <v>4000000</v>
      </c>
      <c r="N17" s="246"/>
      <c r="O17" s="248">
        <f t="shared" si="4"/>
        <v>4000000</v>
      </c>
      <c r="P17" s="299"/>
    </row>
    <row r="18" spans="1:16" s="134" customFormat="1" ht="13.5" thickBot="1">
      <c r="A18" s="150" t="s">
        <v>418</v>
      </c>
      <c r="B18" s="606" t="s">
        <v>479</v>
      </c>
      <c r="C18" s="651" t="s">
        <v>425</v>
      </c>
      <c r="D18" s="298"/>
      <c r="E18" s="298"/>
      <c r="F18" s="600">
        <f>SUM(D18:E18)</f>
        <v>0</v>
      </c>
      <c r="G18" s="298"/>
      <c r="H18" s="298"/>
      <c r="I18" s="298">
        <v>380000</v>
      </c>
      <c r="J18" s="601"/>
      <c r="K18" s="246">
        <f>SUM(I18:J18)</f>
        <v>380000</v>
      </c>
      <c r="L18" s="246">
        <f t="shared" si="2"/>
        <v>380000</v>
      </c>
      <c r="M18" s="247">
        <f t="shared" si="3"/>
        <v>380000</v>
      </c>
      <c r="N18" s="246"/>
      <c r="O18" s="248">
        <f t="shared" si="4"/>
        <v>380000</v>
      </c>
      <c r="P18" s="299"/>
    </row>
    <row r="19" spans="1:18" ht="13.5" thickBot="1">
      <c r="A19" s="652"/>
      <c r="B19" s="653"/>
      <c r="C19" s="654" t="s">
        <v>18</v>
      </c>
      <c r="D19" s="253">
        <f aca="true" t="shared" si="5" ref="D19:O19">SUM(D6:D18)</f>
        <v>45651719</v>
      </c>
      <c r="E19" s="257">
        <f t="shared" si="5"/>
        <v>3803000</v>
      </c>
      <c r="F19" s="255">
        <f t="shared" si="5"/>
        <v>49454719</v>
      </c>
      <c r="G19" s="253">
        <f t="shared" si="5"/>
        <v>16718023</v>
      </c>
      <c r="H19" s="253">
        <f t="shared" si="5"/>
        <v>678476</v>
      </c>
      <c r="I19" s="253">
        <f t="shared" si="5"/>
        <v>98560713</v>
      </c>
      <c r="J19" s="257">
        <f t="shared" si="5"/>
        <v>0</v>
      </c>
      <c r="K19" s="255">
        <f t="shared" si="5"/>
        <v>98560713</v>
      </c>
      <c r="L19" s="255">
        <f t="shared" si="5"/>
        <v>115957212</v>
      </c>
      <c r="M19" s="255">
        <f t="shared" si="5"/>
        <v>165411931</v>
      </c>
      <c r="N19" s="255">
        <f t="shared" si="5"/>
        <v>5295000</v>
      </c>
      <c r="O19" s="255">
        <f t="shared" si="5"/>
        <v>170706931</v>
      </c>
      <c r="P19" s="624">
        <f>SUM(P6:P18)</f>
        <v>167.73</v>
      </c>
      <c r="Q19" s="79"/>
      <c r="R19" s="399"/>
    </row>
    <row r="20" spans="1:18" ht="13.5" thickBot="1">
      <c r="A20" s="643"/>
      <c r="B20" s="644"/>
      <c r="C20" s="645" t="s">
        <v>203</v>
      </c>
      <c r="D20" s="539">
        <f>'T2-EU '!E18</f>
        <v>46247701</v>
      </c>
      <c r="E20" s="540">
        <f>'T2-EU '!F18</f>
        <v>14039363</v>
      </c>
      <c r="F20" s="541">
        <f aca="true" t="shared" si="6" ref="F20:F33">SUM(D20:E20)</f>
        <v>60287064</v>
      </c>
      <c r="G20" s="539">
        <f>'T2-EU '!G18</f>
        <v>18213129.31</v>
      </c>
      <c r="H20" s="542">
        <f>'T2-EU '!H18</f>
        <v>733371</v>
      </c>
      <c r="I20" s="542">
        <f>'T2-EU '!I18</f>
        <v>10909900.65</v>
      </c>
      <c r="J20" s="543"/>
      <c r="K20" s="544">
        <f aca="true" t="shared" si="7" ref="K20:K33">SUM(I20:J20)</f>
        <v>10909900.65</v>
      </c>
      <c r="L20" s="544">
        <f aca="true" t="shared" si="8" ref="L20:L32">SUM(G20,H20,K20)</f>
        <v>29856400.96</v>
      </c>
      <c r="M20" s="545">
        <f aca="true" t="shared" si="9" ref="M20:M32">SUM(F20,L20)</f>
        <v>90143464.96000001</v>
      </c>
      <c r="N20" s="544"/>
      <c r="O20" s="546">
        <f>SUM(M20,N20)</f>
        <v>90143464.96000001</v>
      </c>
      <c r="P20" s="622">
        <f>'T2-EU '!K18</f>
        <v>87.37</v>
      </c>
      <c r="R20" s="134"/>
    </row>
    <row r="21" spans="1:18" ht="12.75">
      <c r="A21" s="149" t="s">
        <v>482</v>
      </c>
      <c r="B21" s="602" t="s">
        <v>476</v>
      </c>
      <c r="C21" s="568" t="s">
        <v>484</v>
      </c>
      <c r="D21" s="266"/>
      <c r="E21" s="266"/>
      <c r="F21" s="236">
        <f t="shared" si="6"/>
        <v>0</v>
      </c>
      <c r="G21" s="266"/>
      <c r="H21" s="266"/>
      <c r="I21" s="266">
        <v>396915</v>
      </c>
      <c r="J21" s="238"/>
      <c r="K21" s="239">
        <f t="shared" si="7"/>
        <v>396915</v>
      </c>
      <c r="L21" s="239">
        <f t="shared" si="8"/>
        <v>396915</v>
      </c>
      <c r="M21" s="240">
        <f t="shared" si="9"/>
        <v>396915</v>
      </c>
      <c r="N21" s="239"/>
      <c r="O21" s="241">
        <f aca="true" t="shared" si="10" ref="O21:O32">SUM(M21:N21)</f>
        <v>396915</v>
      </c>
      <c r="P21" s="625"/>
      <c r="R21" s="134"/>
    </row>
    <row r="22" spans="1:16" ht="12.75">
      <c r="A22" s="294" t="s">
        <v>485</v>
      </c>
      <c r="B22" s="603" t="s">
        <v>476</v>
      </c>
      <c r="C22" s="567" t="s">
        <v>486</v>
      </c>
      <c r="D22" s="271">
        <v>112853</v>
      </c>
      <c r="E22" s="271"/>
      <c r="F22" s="287">
        <f t="shared" si="6"/>
        <v>112853</v>
      </c>
      <c r="G22" s="271">
        <v>38371</v>
      </c>
      <c r="H22" s="271">
        <v>1693</v>
      </c>
      <c r="I22" s="271"/>
      <c r="J22" s="264"/>
      <c r="K22" s="246">
        <f t="shared" si="7"/>
        <v>0</v>
      </c>
      <c r="L22" s="246">
        <f>SUM(G22,H22,K22)</f>
        <v>40064</v>
      </c>
      <c r="M22" s="247">
        <f>SUM(F22,L22)</f>
        <v>152917</v>
      </c>
      <c r="N22" s="246"/>
      <c r="O22" s="248">
        <f>SUM(M22:N22)</f>
        <v>152917</v>
      </c>
      <c r="P22" s="299"/>
    </row>
    <row r="23" spans="1:16" ht="12.75">
      <c r="A23" s="294" t="s">
        <v>489</v>
      </c>
      <c r="B23" s="602" t="s">
        <v>479</v>
      </c>
      <c r="C23" s="567" t="s">
        <v>490</v>
      </c>
      <c r="D23" s="271">
        <v>33744915</v>
      </c>
      <c r="E23" s="271">
        <v>4170000</v>
      </c>
      <c r="F23" s="246">
        <f t="shared" si="6"/>
        <v>37914915</v>
      </c>
      <c r="G23" s="271">
        <v>12619072</v>
      </c>
      <c r="H23" s="271">
        <v>506174</v>
      </c>
      <c r="I23" s="271">
        <v>13288700</v>
      </c>
      <c r="J23" s="245"/>
      <c r="K23" s="246">
        <f t="shared" si="7"/>
        <v>13288700</v>
      </c>
      <c r="L23" s="246">
        <f>SUM(G23,H23,K23)</f>
        <v>26413946</v>
      </c>
      <c r="M23" s="247">
        <f>SUM(F23,L23)</f>
        <v>64328861</v>
      </c>
      <c r="N23" s="655">
        <v>2317000</v>
      </c>
      <c r="O23" s="248">
        <f>SUM(M23:N23)</f>
        <v>66645861</v>
      </c>
      <c r="P23" s="626">
        <v>103.8</v>
      </c>
    </row>
    <row r="24" spans="1:16" ht="12.75">
      <c r="A24" s="294" t="s">
        <v>491</v>
      </c>
      <c r="B24" s="603" t="s">
        <v>479</v>
      </c>
      <c r="C24" s="567" t="s">
        <v>492</v>
      </c>
      <c r="D24" s="271">
        <v>11640435</v>
      </c>
      <c r="E24" s="271">
        <v>17008800</v>
      </c>
      <c r="F24" s="249">
        <f t="shared" si="6"/>
        <v>28649235</v>
      </c>
      <c r="G24" s="271">
        <v>8882820</v>
      </c>
      <c r="H24" s="271">
        <v>174607</v>
      </c>
      <c r="I24" s="271">
        <v>10737686</v>
      </c>
      <c r="J24" s="245"/>
      <c r="K24" s="246">
        <f t="shared" si="7"/>
        <v>10737686</v>
      </c>
      <c r="L24" s="246">
        <f t="shared" si="8"/>
        <v>19795113</v>
      </c>
      <c r="M24" s="247">
        <f t="shared" si="9"/>
        <v>48444348</v>
      </c>
      <c r="N24" s="246"/>
      <c r="O24" s="248">
        <f t="shared" si="10"/>
        <v>48444348</v>
      </c>
      <c r="P24" s="626">
        <v>31.51</v>
      </c>
    </row>
    <row r="25" spans="1:16" ht="12.75">
      <c r="A25" s="294" t="s">
        <v>493</v>
      </c>
      <c r="B25" s="602" t="s">
        <v>479</v>
      </c>
      <c r="C25" s="567" t="s">
        <v>494</v>
      </c>
      <c r="D25" s="271"/>
      <c r="E25" s="271">
        <v>5985000</v>
      </c>
      <c r="F25" s="249">
        <f t="shared" si="6"/>
        <v>5985000</v>
      </c>
      <c r="G25" s="271">
        <v>407300</v>
      </c>
      <c r="H25" s="271"/>
      <c r="I25" s="271">
        <v>3520700</v>
      </c>
      <c r="J25" s="245"/>
      <c r="K25" s="246">
        <f t="shared" si="7"/>
        <v>3520700</v>
      </c>
      <c r="L25" s="246">
        <f t="shared" si="8"/>
        <v>3928000</v>
      </c>
      <c r="M25" s="247">
        <f t="shared" si="9"/>
        <v>9913000</v>
      </c>
      <c r="N25" s="655">
        <v>398000</v>
      </c>
      <c r="O25" s="248">
        <f t="shared" si="10"/>
        <v>10311000</v>
      </c>
      <c r="P25" s="299"/>
    </row>
    <row r="26" spans="1:16" ht="12.75">
      <c r="A26" s="294" t="s">
        <v>495</v>
      </c>
      <c r="B26" s="603" t="s">
        <v>479</v>
      </c>
      <c r="C26" s="567" t="s">
        <v>496</v>
      </c>
      <c r="D26" s="271">
        <v>810000</v>
      </c>
      <c r="E26" s="271">
        <v>11377875</v>
      </c>
      <c r="F26" s="246">
        <f t="shared" si="6"/>
        <v>12187875</v>
      </c>
      <c r="G26" s="271">
        <v>1432030</v>
      </c>
      <c r="H26" s="271">
        <v>12150</v>
      </c>
      <c r="I26" s="271">
        <v>5362495</v>
      </c>
      <c r="J26" s="245"/>
      <c r="K26" s="246">
        <f t="shared" si="7"/>
        <v>5362495</v>
      </c>
      <c r="L26" s="246">
        <f t="shared" si="8"/>
        <v>6806675</v>
      </c>
      <c r="M26" s="247">
        <f t="shared" si="9"/>
        <v>18994550</v>
      </c>
      <c r="N26" s="655"/>
      <c r="O26" s="248">
        <f t="shared" si="10"/>
        <v>18994550</v>
      </c>
      <c r="P26" s="626">
        <v>2.75</v>
      </c>
    </row>
    <row r="27" spans="1:16" ht="12.75">
      <c r="A27" s="295" t="s">
        <v>495</v>
      </c>
      <c r="B27" s="619" t="s">
        <v>479</v>
      </c>
      <c r="C27" s="646" t="s">
        <v>496</v>
      </c>
      <c r="D27" s="620"/>
      <c r="E27" s="620">
        <v>6407600</v>
      </c>
      <c r="F27" s="290">
        <f t="shared" si="6"/>
        <v>6407600</v>
      </c>
      <c r="G27" s="620">
        <v>388960</v>
      </c>
      <c r="H27" s="620"/>
      <c r="I27" s="620">
        <v>1014269</v>
      </c>
      <c r="J27" s="289"/>
      <c r="K27" s="290">
        <f t="shared" si="7"/>
        <v>1014269</v>
      </c>
      <c r="L27" s="290">
        <f>SUM(G27,H27,K27)</f>
        <v>1403229</v>
      </c>
      <c r="M27" s="291">
        <f>SUM(F27,L27)</f>
        <v>7810829</v>
      </c>
      <c r="N27" s="656"/>
      <c r="O27" s="292">
        <f>SUM(M27:N27)</f>
        <v>7810829</v>
      </c>
      <c r="P27" s="300"/>
    </row>
    <row r="28" spans="1:16" ht="12.75">
      <c r="A28" s="294" t="s">
        <v>497</v>
      </c>
      <c r="B28" s="603" t="s">
        <v>479</v>
      </c>
      <c r="C28" s="567" t="s">
        <v>498</v>
      </c>
      <c r="D28" s="271"/>
      <c r="E28" s="271"/>
      <c r="F28" s="246">
        <f t="shared" si="6"/>
        <v>0</v>
      </c>
      <c r="G28" s="242"/>
      <c r="H28" s="244"/>
      <c r="I28" s="271">
        <v>16466980</v>
      </c>
      <c r="J28" s="245"/>
      <c r="K28" s="246">
        <f t="shared" si="7"/>
        <v>16466980</v>
      </c>
      <c r="L28" s="246">
        <f t="shared" si="8"/>
        <v>16466980</v>
      </c>
      <c r="M28" s="247">
        <f t="shared" si="9"/>
        <v>16466980</v>
      </c>
      <c r="N28" s="655"/>
      <c r="O28" s="248">
        <f t="shared" si="10"/>
        <v>16466980</v>
      </c>
      <c r="P28" s="299"/>
    </row>
    <row r="29" spans="1:16" ht="12.75">
      <c r="A29" s="149" t="s">
        <v>499</v>
      </c>
      <c r="B29" s="602" t="s">
        <v>479</v>
      </c>
      <c r="C29" s="568" t="s">
        <v>500</v>
      </c>
      <c r="D29" s="266"/>
      <c r="E29" s="266">
        <v>42696</v>
      </c>
      <c r="F29" s="246">
        <f t="shared" si="6"/>
        <v>42696</v>
      </c>
      <c r="G29" s="242"/>
      <c r="H29" s="244"/>
      <c r="I29" s="266">
        <v>50000</v>
      </c>
      <c r="J29" s="245"/>
      <c r="K29" s="246">
        <f t="shared" si="7"/>
        <v>50000</v>
      </c>
      <c r="L29" s="246">
        <f t="shared" si="8"/>
        <v>50000</v>
      </c>
      <c r="M29" s="247">
        <f t="shared" si="9"/>
        <v>92696</v>
      </c>
      <c r="N29" s="655"/>
      <c r="O29" s="248">
        <f t="shared" si="10"/>
        <v>92696</v>
      </c>
      <c r="P29" s="299"/>
    </row>
    <row r="30" spans="1:16" ht="12.75">
      <c r="A30" s="149" t="s">
        <v>501</v>
      </c>
      <c r="B30" s="603" t="s">
        <v>479</v>
      </c>
      <c r="C30" s="568" t="s">
        <v>502</v>
      </c>
      <c r="D30" s="266"/>
      <c r="E30" s="266">
        <v>57700</v>
      </c>
      <c r="F30" s="246">
        <f t="shared" si="6"/>
        <v>57700</v>
      </c>
      <c r="G30" s="242"/>
      <c r="H30" s="244"/>
      <c r="I30" s="266">
        <v>52107</v>
      </c>
      <c r="J30" s="245"/>
      <c r="K30" s="246">
        <f t="shared" si="7"/>
        <v>52107</v>
      </c>
      <c r="L30" s="246">
        <f t="shared" si="8"/>
        <v>52107</v>
      </c>
      <c r="M30" s="247">
        <f t="shared" si="9"/>
        <v>109807</v>
      </c>
      <c r="N30" s="246"/>
      <c r="O30" s="248">
        <f t="shared" si="10"/>
        <v>109807</v>
      </c>
      <c r="P30" s="299"/>
    </row>
    <row r="31" spans="1:16" ht="12.75">
      <c r="A31" s="657" t="s">
        <v>501</v>
      </c>
      <c r="B31" s="619" t="s">
        <v>479</v>
      </c>
      <c r="C31" s="658" t="s">
        <v>502</v>
      </c>
      <c r="D31" s="288"/>
      <c r="E31" s="659">
        <v>36604</v>
      </c>
      <c r="F31" s="290">
        <f t="shared" si="6"/>
        <v>36604</v>
      </c>
      <c r="G31" s="288"/>
      <c r="H31" s="620"/>
      <c r="I31" s="659">
        <v>11893</v>
      </c>
      <c r="J31" s="289"/>
      <c r="K31" s="290">
        <f t="shared" si="7"/>
        <v>11893</v>
      </c>
      <c r="L31" s="290">
        <f>SUM(G31,H31,K31)</f>
        <v>11893</v>
      </c>
      <c r="M31" s="291">
        <f>SUM(F31,L31)</f>
        <v>48497</v>
      </c>
      <c r="N31" s="290"/>
      <c r="O31" s="292">
        <f>SUM(M31:N31)</f>
        <v>48497</v>
      </c>
      <c r="P31" s="300"/>
    </row>
    <row r="32" spans="1:16" ht="12.75">
      <c r="A32" s="149" t="s">
        <v>503</v>
      </c>
      <c r="B32" s="603" t="s">
        <v>479</v>
      </c>
      <c r="C32" s="568" t="s">
        <v>504</v>
      </c>
      <c r="D32" s="242"/>
      <c r="E32" s="266">
        <v>850000</v>
      </c>
      <c r="F32" s="246">
        <f t="shared" si="6"/>
        <v>850000</v>
      </c>
      <c r="G32" s="266">
        <v>184000</v>
      </c>
      <c r="H32" s="266"/>
      <c r="I32" s="266">
        <v>816000</v>
      </c>
      <c r="J32" s="245"/>
      <c r="K32" s="246">
        <f t="shared" si="7"/>
        <v>816000</v>
      </c>
      <c r="L32" s="246">
        <f t="shared" si="8"/>
        <v>1000000</v>
      </c>
      <c r="M32" s="247">
        <f t="shared" si="9"/>
        <v>1850000</v>
      </c>
      <c r="N32" s="246"/>
      <c r="O32" s="248">
        <f t="shared" si="10"/>
        <v>1850000</v>
      </c>
      <c r="P32" s="299"/>
    </row>
    <row r="33" spans="1:16" ht="13.5" thickBot="1">
      <c r="A33" s="657" t="s">
        <v>503</v>
      </c>
      <c r="B33" s="619" t="s">
        <v>479</v>
      </c>
      <c r="C33" s="658" t="s">
        <v>504</v>
      </c>
      <c r="D33" s="288"/>
      <c r="E33" s="659">
        <v>200000</v>
      </c>
      <c r="F33" s="290">
        <f t="shared" si="6"/>
        <v>200000</v>
      </c>
      <c r="G33" s="659"/>
      <c r="H33" s="659"/>
      <c r="I33" s="659"/>
      <c r="J33" s="289"/>
      <c r="K33" s="290">
        <f t="shared" si="7"/>
        <v>0</v>
      </c>
      <c r="L33" s="290">
        <f>SUM(G33,H33,K33)</f>
        <v>0</v>
      </c>
      <c r="M33" s="291">
        <f>SUM(F33,L33)</f>
        <v>200000</v>
      </c>
      <c r="N33" s="290"/>
      <c r="O33" s="292">
        <f>SUM(M33:N33)</f>
        <v>200000</v>
      </c>
      <c r="P33" s="300"/>
    </row>
    <row r="34" spans="1:16" ht="13.5" thickBot="1">
      <c r="A34" s="660"/>
      <c r="B34" s="661"/>
      <c r="C34" s="654" t="s">
        <v>201</v>
      </c>
      <c r="D34" s="253">
        <f>SUM(D20:D33)</f>
        <v>92555904</v>
      </c>
      <c r="E34" s="253">
        <f aca="true" t="shared" si="11" ref="E34:P34">SUM(E20:E33)</f>
        <v>60175638</v>
      </c>
      <c r="F34" s="253">
        <f t="shared" si="11"/>
        <v>152731542</v>
      </c>
      <c r="G34" s="253">
        <f t="shared" si="11"/>
        <v>42165682.31</v>
      </c>
      <c r="H34" s="253">
        <f t="shared" si="11"/>
        <v>1427995</v>
      </c>
      <c r="I34" s="253">
        <f t="shared" si="11"/>
        <v>62627645.65</v>
      </c>
      <c r="J34" s="253">
        <f t="shared" si="11"/>
        <v>0</v>
      </c>
      <c r="K34" s="253">
        <f t="shared" si="11"/>
        <v>62627645.65</v>
      </c>
      <c r="L34" s="253">
        <f t="shared" si="11"/>
        <v>106221322.96000001</v>
      </c>
      <c r="M34" s="253">
        <f t="shared" si="11"/>
        <v>258952864.96</v>
      </c>
      <c r="N34" s="253">
        <f t="shared" si="11"/>
        <v>2715000</v>
      </c>
      <c r="O34" s="253">
        <f t="shared" si="11"/>
        <v>261667864.96</v>
      </c>
      <c r="P34" s="715">
        <f t="shared" si="11"/>
        <v>225.43</v>
      </c>
    </row>
    <row r="35" spans="1:16" ht="14.25" customHeight="1">
      <c r="A35" s="149" t="s">
        <v>510</v>
      </c>
      <c r="B35" s="602" t="s">
        <v>476</v>
      </c>
      <c r="C35" s="568" t="s">
        <v>511</v>
      </c>
      <c r="D35" s="266"/>
      <c r="E35" s="266">
        <v>80000</v>
      </c>
      <c r="F35" s="267">
        <f>SUM(D35:E35)</f>
        <v>80000</v>
      </c>
      <c r="G35" s="266"/>
      <c r="H35" s="266"/>
      <c r="I35" s="266">
        <v>150000</v>
      </c>
      <c r="J35" s="268"/>
      <c r="K35" s="269">
        <f>SUM(I35:J35)</f>
        <v>150000</v>
      </c>
      <c r="L35" s="269">
        <f>SUM(G35,H35,K35)</f>
        <v>150000</v>
      </c>
      <c r="M35" s="263">
        <f>SUM(F35,L35)</f>
        <v>230000</v>
      </c>
      <c r="N35" s="239"/>
      <c r="O35" s="239">
        <f>SUM(M35:N35)</f>
        <v>230000</v>
      </c>
      <c r="P35" s="630"/>
    </row>
    <row r="36" spans="1:16" ht="14.25" customHeight="1">
      <c r="A36" s="149" t="s">
        <v>512</v>
      </c>
      <c r="B36" s="602" t="s">
        <v>476</v>
      </c>
      <c r="C36" s="568" t="s">
        <v>513</v>
      </c>
      <c r="D36" s="266">
        <v>15136221</v>
      </c>
      <c r="E36" s="266">
        <v>1634000</v>
      </c>
      <c r="F36" s="249">
        <f>SUM(D36:E36)</f>
        <v>16770221</v>
      </c>
      <c r="G36" s="266">
        <v>5585855</v>
      </c>
      <c r="H36" s="266">
        <v>227044</v>
      </c>
      <c r="I36" s="266">
        <v>9042890</v>
      </c>
      <c r="J36" s="261"/>
      <c r="K36" s="246">
        <f>SUM(I36:J36)</f>
        <v>9042890</v>
      </c>
      <c r="L36" s="262">
        <f>SUM(G36,H36,K36)</f>
        <v>14855789</v>
      </c>
      <c r="M36" s="263">
        <f>SUM(F36,L36)</f>
        <v>31626010</v>
      </c>
      <c r="N36" s="662">
        <v>1350000</v>
      </c>
      <c r="O36" s="262">
        <f>SUM(M36:N36)</f>
        <v>32976010</v>
      </c>
      <c r="P36" s="629">
        <v>44.24</v>
      </c>
    </row>
    <row r="37" spans="1:16" ht="14.25" customHeight="1">
      <c r="A37" s="294" t="s">
        <v>514</v>
      </c>
      <c r="B37" s="602" t="s">
        <v>479</v>
      </c>
      <c r="C37" s="567" t="s">
        <v>515</v>
      </c>
      <c r="D37" s="271">
        <v>492000</v>
      </c>
      <c r="E37" s="271">
        <v>356000</v>
      </c>
      <c r="F37" s="272">
        <f>SUM(D37:E37)</f>
        <v>848000</v>
      </c>
      <c r="G37" s="271">
        <v>188000</v>
      </c>
      <c r="H37" s="271">
        <v>7380</v>
      </c>
      <c r="I37" s="271">
        <v>380620</v>
      </c>
      <c r="J37" s="273"/>
      <c r="K37" s="274">
        <f>SUM(I37:J37)</f>
        <v>380620</v>
      </c>
      <c r="L37" s="269">
        <f>SUM(G37,H37,K37)</f>
        <v>576000</v>
      </c>
      <c r="M37" s="263">
        <f>SUM(F37,L37)</f>
        <v>1424000</v>
      </c>
      <c r="N37" s="262"/>
      <c r="O37" s="262">
        <f>SUM(M37:N37)</f>
        <v>1424000</v>
      </c>
      <c r="P37" s="626">
        <v>1.8</v>
      </c>
    </row>
    <row r="38" spans="1:16" ht="14.25" customHeight="1">
      <c r="A38" s="294" t="s">
        <v>519</v>
      </c>
      <c r="B38" s="602" t="s">
        <v>479</v>
      </c>
      <c r="C38" s="567" t="s">
        <v>516</v>
      </c>
      <c r="D38" s="271"/>
      <c r="E38" s="271">
        <v>208000</v>
      </c>
      <c r="F38" s="272">
        <f>SUM(D38:E38)</f>
        <v>208000</v>
      </c>
      <c r="G38" s="271">
        <v>43600</v>
      </c>
      <c r="H38" s="271"/>
      <c r="I38" s="271">
        <v>824444</v>
      </c>
      <c r="J38" s="273"/>
      <c r="K38" s="274">
        <f>SUM(I38:J38)</f>
        <v>824444</v>
      </c>
      <c r="L38" s="269">
        <f>SUM(G38,H38,K38)</f>
        <v>868044</v>
      </c>
      <c r="M38" s="263">
        <f>SUM(F38,L38)</f>
        <v>1076044</v>
      </c>
      <c r="N38" s="262"/>
      <c r="O38" s="262">
        <f>SUM(M38:N38)</f>
        <v>1076044</v>
      </c>
      <c r="P38" s="626"/>
    </row>
    <row r="39" spans="1:16" ht="14.25" customHeight="1" thickBot="1">
      <c r="A39" s="294" t="s">
        <v>517</v>
      </c>
      <c r="B39" s="603" t="s">
        <v>476</v>
      </c>
      <c r="C39" s="567" t="s">
        <v>518</v>
      </c>
      <c r="D39" s="270"/>
      <c r="E39" s="271"/>
      <c r="F39" s="275">
        <f>SUM(D39:E39)</f>
        <v>0</v>
      </c>
      <c r="G39" s="271"/>
      <c r="H39" s="271"/>
      <c r="I39" s="298">
        <v>1316500</v>
      </c>
      <c r="J39" s="276"/>
      <c r="K39" s="277">
        <f>SUM(I39:J39)</f>
        <v>1316500</v>
      </c>
      <c r="L39" s="278">
        <f>SUM(G39,H39,K39)</f>
        <v>1316500</v>
      </c>
      <c r="M39" s="251">
        <f>SUM(F39,L39)</f>
        <v>1316500</v>
      </c>
      <c r="N39" s="250"/>
      <c r="O39" s="252">
        <f>SUM(M39:N39)</f>
        <v>1316500</v>
      </c>
      <c r="P39" s="626"/>
    </row>
    <row r="40" spans="1:16" ht="14.25" customHeight="1" thickBot="1">
      <c r="A40" s="660"/>
      <c r="B40" s="661"/>
      <c r="C40" s="654" t="s">
        <v>195</v>
      </c>
      <c r="D40" s="253">
        <f aca="true" t="shared" si="12" ref="D40:I40">SUM(D35:D39)</f>
        <v>15628221</v>
      </c>
      <c r="E40" s="254">
        <f t="shared" si="12"/>
        <v>2278000</v>
      </c>
      <c r="F40" s="255">
        <f t="shared" si="12"/>
        <v>17906221</v>
      </c>
      <c r="G40" s="253">
        <f t="shared" si="12"/>
        <v>5817455</v>
      </c>
      <c r="H40" s="256">
        <f t="shared" si="12"/>
        <v>234424</v>
      </c>
      <c r="I40" s="256">
        <f t="shared" si="12"/>
        <v>11714454</v>
      </c>
      <c r="J40" s="257"/>
      <c r="K40" s="258">
        <f aca="true" t="shared" si="13" ref="K40:P40">SUM(K35:K39)</f>
        <v>11714454</v>
      </c>
      <c r="L40" s="258">
        <f t="shared" si="13"/>
        <v>17766333</v>
      </c>
      <c r="M40" s="259">
        <f t="shared" si="13"/>
        <v>35672554</v>
      </c>
      <c r="N40" s="258">
        <f t="shared" si="13"/>
        <v>1350000</v>
      </c>
      <c r="O40" s="260">
        <f t="shared" si="13"/>
        <v>37022554</v>
      </c>
      <c r="P40" s="627">
        <f t="shared" si="13"/>
        <v>46.04</v>
      </c>
    </row>
    <row r="41" spans="1:16" ht="14.25" customHeight="1" thickBot="1">
      <c r="A41" s="663"/>
      <c r="B41" s="664"/>
      <c r="C41" s="665" t="s">
        <v>204</v>
      </c>
      <c r="D41" s="547">
        <f>'T2-EU '!E22</f>
        <v>0</v>
      </c>
      <c r="E41" s="548">
        <f>'T2-EU '!F22</f>
        <v>0</v>
      </c>
      <c r="F41" s="541">
        <f aca="true" t="shared" si="14" ref="F41:F49">SUM(D41:E41)</f>
        <v>0</v>
      </c>
      <c r="G41" s="547">
        <f>'T2-EU '!G22</f>
        <v>0</v>
      </c>
      <c r="H41" s="549">
        <f>'T2-EU '!H22</f>
        <v>0</v>
      </c>
      <c r="I41" s="549">
        <f>'T2-EU '!I22</f>
        <v>30000</v>
      </c>
      <c r="J41" s="550"/>
      <c r="K41" s="551">
        <f aca="true" t="shared" si="15" ref="K41:K49">SUM(I41:J41)</f>
        <v>30000</v>
      </c>
      <c r="L41" s="551">
        <f aca="true" t="shared" si="16" ref="L41:L49">SUM(G41,H41,K41)</f>
        <v>30000</v>
      </c>
      <c r="M41" s="552">
        <f aca="true" t="shared" si="17" ref="M41:M49">SUM(F41,L41)</f>
        <v>30000</v>
      </c>
      <c r="N41" s="551"/>
      <c r="O41" s="553">
        <f>SUM(M41,N41)</f>
        <v>30000</v>
      </c>
      <c r="P41" s="628">
        <f>'T2-EU '!K22</f>
        <v>0</v>
      </c>
    </row>
    <row r="42" spans="1:16" ht="14.25" customHeight="1">
      <c r="A42" s="149" t="s">
        <v>522</v>
      </c>
      <c r="B42" s="602" t="s">
        <v>476</v>
      </c>
      <c r="C42" s="568" t="s">
        <v>523</v>
      </c>
      <c r="D42" s="266"/>
      <c r="E42" s="266">
        <v>4995</v>
      </c>
      <c r="F42" s="236">
        <f t="shared" si="14"/>
        <v>4995</v>
      </c>
      <c r="G42" s="237"/>
      <c r="H42" s="237"/>
      <c r="I42" s="266">
        <v>370007</v>
      </c>
      <c r="J42" s="279"/>
      <c r="K42" s="239">
        <f t="shared" si="15"/>
        <v>370007</v>
      </c>
      <c r="L42" s="239">
        <f t="shared" si="16"/>
        <v>370007</v>
      </c>
      <c r="M42" s="240">
        <f t="shared" si="17"/>
        <v>375002</v>
      </c>
      <c r="N42" s="239"/>
      <c r="O42" s="241">
        <f aca="true" t="shared" si="18" ref="O42:O49">SUM(M42:N42)</f>
        <v>375002</v>
      </c>
      <c r="P42" s="623"/>
    </row>
    <row r="43" spans="1:16" ht="12.75">
      <c r="A43" s="294" t="s">
        <v>524</v>
      </c>
      <c r="B43" s="603" t="s">
        <v>476</v>
      </c>
      <c r="C43" s="567" t="s">
        <v>525</v>
      </c>
      <c r="D43" s="271">
        <v>40021022</v>
      </c>
      <c r="E43" s="271">
        <v>340000</v>
      </c>
      <c r="F43" s="249">
        <f t="shared" si="14"/>
        <v>40361022</v>
      </c>
      <c r="G43" s="271">
        <v>13722748</v>
      </c>
      <c r="H43" s="271">
        <v>600316</v>
      </c>
      <c r="I43" s="271">
        <v>56636000</v>
      </c>
      <c r="J43" s="265"/>
      <c r="K43" s="246">
        <f t="shared" si="15"/>
        <v>56636000</v>
      </c>
      <c r="L43" s="246">
        <f t="shared" si="16"/>
        <v>70959064</v>
      </c>
      <c r="M43" s="247">
        <f t="shared" si="17"/>
        <v>111320086</v>
      </c>
      <c r="N43" s="246">
        <v>14994000</v>
      </c>
      <c r="O43" s="248">
        <f t="shared" si="18"/>
        <v>126314086</v>
      </c>
      <c r="P43" s="626">
        <v>145.39</v>
      </c>
    </row>
    <row r="44" spans="1:16" ht="14.25" customHeight="1">
      <c r="A44" s="294" t="s">
        <v>526</v>
      </c>
      <c r="B44" s="602" t="s">
        <v>479</v>
      </c>
      <c r="C44" s="567" t="s">
        <v>527</v>
      </c>
      <c r="D44" s="271"/>
      <c r="E44" s="271"/>
      <c r="F44" s="249">
        <f t="shared" si="14"/>
        <v>0</v>
      </c>
      <c r="G44" s="271"/>
      <c r="H44" s="271"/>
      <c r="I44" s="271">
        <v>43010000</v>
      </c>
      <c r="J44" s="265"/>
      <c r="K44" s="246">
        <f t="shared" si="15"/>
        <v>43010000</v>
      </c>
      <c r="L44" s="246">
        <f t="shared" si="16"/>
        <v>43010000</v>
      </c>
      <c r="M44" s="247">
        <f t="shared" si="17"/>
        <v>43010000</v>
      </c>
      <c r="N44" s="246"/>
      <c r="O44" s="248">
        <f t="shared" si="18"/>
        <v>43010000</v>
      </c>
      <c r="P44" s="299"/>
    </row>
    <row r="45" spans="1:16" ht="14.25" customHeight="1">
      <c r="A45" s="294" t="s">
        <v>528</v>
      </c>
      <c r="B45" s="603" t="s">
        <v>479</v>
      </c>
      <c r="C45" s="567" t="s">
        <v>529</v>
      </c>
      <c r="D45" s="271"/>
      <c r="E45" s="271">
        <v>750000</v>
      </c>
      <c r="F45" s="249">
        <f t="shared" si="14"/>
        <v>750000</v>
      </c>
      <c r="G45" s="271"/>
      <c r="H45" s="271"/>
      <c r="I45" s="271">
        <v>851000</v>
      </c>
      <c r="J45" s="265"/>
      <c r="K45" s="246">
        <f t="shared" si="15"/>
        <v>851000</v>
      </c>
      <c r="L45" s="246">
        <f t="shared" si="16"/>
        <v>851000</v>
      </c>
      <c r="M45" s="247">
        <f t="shared" si="17"/>
        <v>1601000</v>
      </c>
      <c r="N45" s="246"/>
      <c r="O45" s="248">
        <f t="shared" si="18"/>
        <v>1601000</v>
      </c>
      <c r="P45" s="299"/>
    </row>
    <row r="46" spans="1:16" ht="14.25" customHeight="1">
      <c r="A46" s="294" t="s">
        <v>530</v>
      </c>
      <c r="B46" s="602" t="s">
        <v>479</v>
      </c>
      <c r="C46" s="567" t="s">
        <v>531</v>
      </c>
      <c r="D46" s="271"/>
      <c r="E46" s="271"/>
      <c r="F46" s="249">
        <f t="shared" si="14"/>
        <v>0</v>
      </c>
      <c r="G46" s="271"/>
      <c r="H46" s="271"/>
      <c r="I46" s="271">
        <v>8000</v>
      </c>
      <c r="J46" s="265"/>
      <c r="K46" s="246">
        <f t="shared" si="15"/>
        <v>8000</v>
      </c>
      <c r="L46" s="246">
        <f t="shared" si="16"/>
        <v>8000</v>
      </c>
      <c r="M46" s="247">
        <f t="shared" si="17"/>
        <v>8000</v>
      </c>
      <c r="N46" s="246"/>
      <c r="O46" s="248">
        <f t="shared" si="18"/>
        <v>8000</v>
      </c>
      <c r="P46" s="299"/>
    </row>
    <row r="47" spans="1:16" ht="14.25" customHeight="1">
      <c r="A47" s="294" t="s">
        <v>532</v>
      </c>
      <c r="B47" s="603" t="s">
        <v>479</v>
      </c>
      <c r="C47" s="567" t="s">
        <v>533</v>
      </c>
      <c r="D47" s="271"/>
      <c r="E47" s="271"/>
      <c r="F47" s="249">
        <f t="shared" si="14"/>
        <v>0</v>
      </c>
      <c r="G47" s="271"/>
      <c r="H47" s="271"/>
      <c r="I47" s="271">
        <v>6600</v>
      </c>
      <c r="J47" s="265"/>
      <c r="K47" s="246">
        <f t="shared" si="15"/>
        <v>6600</v>
      </c>
      <c r="L47" s="246">
        <f t="shared" si="16"/>
        <v>6600</v>
      </c>
      <c r="M47" s="247">
        <f t="shared" si="17"/>
        <v>6600</v>
      </c>
      <c r="N47" s="246"/>
      <c r="O47" s="248">
        <f t="shared" si="18"/>
        <v>6600</v>
      </c>
      <c r="P47" s="299"/>
    </row>
    <row r="48" spans="1:16" ht="14.25" customHeight="1">
      <c r="A48" s="614" t="s">
        <v>534</v>
      </c>
      <c r="B48" s="602" t="s">
        <v>479</v>
      </c>
      <c r="C48" s="666" t="s">
        <v>535</v>
      </c>
      <c r="D48" s="667">
        <v>96000</v>
      </c>
      <c r="E48" s="650"/>
      <c r="F48" s="598">
        <f>SUM(D48:E48)</f>
        <v>96000</v>
      </c>
      <c r="G48" s="668">
        <v>34000</v>
      </c>
      <c r="H48" s="649">
        <v>480</v>
      </c>
      <c r="I48" s="649">
        <v>73652000</v>
      </c>
      <c r="J48" s="265"/>
      <c r="K48" s="246">
        <f t="shared" si="15"/>
        <v>73652000</v>
      </c>
      <c r="L48" s="246">
        <f t="shared" si="16"/>
        <v>73686480</v>
      </c>
      <c r="M48" s="247">
        <f t="shared" si="17"/>
        <v>73782480</v>
      </c>
      <c r="N48" s="246"/>
      <c r="O48" s="248">
        <f t="shared" si="18"/>
        <v>73782480</v>
      </c>
      <c r="P48" s="299"/>
    </row>
    <row r="49" spans="1:16" ht="14.25" customHeight="1" thickBot="1">
      <c r="A49" s="669" t="s">
        <v>534</v>
      </c>
      <c r="B49" s="604" t="s">
        <v>479</v>
      </c>
      <c r="C49" s="670" t="s">
        <v>535</v>
      </c>
      <c r="D49" s="671"/>
      <c r="E49" s="672">
        <v>161904</v>
      </c>
      <c r="F49" s="621">
        <f t="shared" si="14"/>
        <v>161904</v>
      </c>
      <c r="G49" s="671">
        <v>55096</v>
      </c>
      <c r="H49" s="672"/>
      <c r="I49" s="672">
        <v>122423000</v>
      </c>
      <c r="J49" s="297"/>
      <c r="K49" s="290">
        <f t="shared" si="15"/>
        <v>122423000</v>
      </c>
      <c r="L49" s="290">
        <f t="shared" si="16"/>
        <v>122478096</v>
      </c>
      <c r="M49" s="291">
        <f t="shared" si="17"/>
        <v>122640000</v>
      </c>
      <c r="N49" s="290"/>
      <c r="O49" s="292">
        <f t="shared" si="18"/>
        <v>122640000</v>
      </c>
      <c r="P49" s="300"/>
    </row>
    <row r="50" spans="1:16" ht="14.25" customHeight="1" thickBot="1">
      <c r="A50" s="660"/>
      <c r="B50" s="661"/>
      <c r="C50" s="654" t="s">
        <v>119</v>
      </c>
      <c r="D50" s="253">
        <f aca="true" t="shared" si="19" ref="D50:I50">SUM(D41:D49)</f>
        <v>40117022</v>
      </c>
      <c r="E50" s="254">
        <f t="shared" si="19"/>
        <v>1256899</v>
      </c>
      <c r="F50" s="255">
        <f t="shared" si="19"/>
        <v>41373921</v>
      </c>
      <c r="G50" s="253">
        <f t="shared" si="19"/>
        <v>13811844</v>
      </c>
      <c r="H50" s="256">
        <f t="shared" si="19"/>
        <v>600796</v>
      </c>
      <c r="I50" s="256">
        <f t="shared" si="19"/>
        <v>296986607</v>
      </c>
      <c r="J50" s="257"/>
      <c r="K50" s="258">
        <f aca="true" t="shared" si="20" ref="K50:P50">SUM(K41:K49)</f>
        <v>296986607</v>
      </c>
      <c r="L50" s="258">
        <f t="shared" si="20"/>
        <v>311399247</v>
      </c>
      <c r="M50" s="259">
        <f t="shared" si="20"/>
        <v>352773168</v>
      </c>
      <c r="N50" s="258">
        <f t="shared" si="20"/>
        <v>14994000</v>
      </c>
      <c r="O50" s="260">
        <f t="shared" si="20"/>
        <v>367767168</v>
      </c>
      <c r="P50" s="627">
        <f t="shared" si="20"/>
        <v>145.39</v>
      </c>
    </row>
    <row r="51" spans="1:16" ht="14.25" customHeight="1">
      <c r="A51" s="149" t="s">
        <v>538</v>
      </c>
      <c r="B51" s="602" t="s">
        <v>476</v>
      </c>
      <c r="C51" s="568" t="s">
        <v>536</v>
      </c>
      <c r="D51" s="280"/>
      <c r="E51" s="281"/>
      <c r="F51" s="575">
        <f aca="true" t="shared" si="21" ref="F51:F64">SUM(D51:E51)</f>
        <v>0</v>
      </c>
      <c r="G51" s="281"/>
      <c r="H51" s="281"/>
      <c r="I51" s="266">
        <v>8869500</v>
      </c>
      <c r="J51" s="268"/>
      <c r="K51" s="269">
        <f>SUM(I51:J51)</f>
        <v>8869500</v>
      </c>
      <c r="L51" s="269">
        <f>SUM(G51,H51,K51)</f>
        <v>8869500</v>
      </c>
      <c r="M51" s="263">
        <f>SUM(F51,L51)</f>
        <v>8869500</v>
      </c>
      <c r="N51" s="673">
        <v>335000</v>
      </c>
      <c r="O51" s="264">
        <f>SUM(M51:N51)</f>
        <v>9204500</v>
      </c>
      <c r="P51" s="623"/>
    </row>
    <row r="52" spans="1:16" ht="14.25" customHeight="1" thickBot="1">
      <c r="A52" s="614" t="s">
        <v>539</v>
      </c>
      <c r="B52" s="615" t="s">
        <v>476</v>
      </c>
      <c r="C52" s="666" t="s">
        <v>537</v>
      </c>
      <c r="D52" s="244"/>
      <c r="E52" s="244"/>
      <c r="F52" s="249">
        <f>SUM(D52:E52)</f>
        <v>0</v>
      </c>
      <c r="G52" s="244"/>
      <c r="H52" s="244"/>
      <c r="I52" s="674">
        <v>10000000</v>
      </c>
      <c r="J52" s="265"/>
      <c r="K52" s="246">
        <f>SUM(I52:J52)</f>
        <v>10000000</v>
      </c>
      <c r="L52" s="246">
        <f>SUM(G52,H52,K52)</f>
        <v>10000000</v>
      </c>
      <c r="M52" s="247">
        <f>SUM(F52,L52)</f>
        <v>10000000</v>
      </c>
      <c r="N52" s="246"/>
      <c r="O52" s="248">
        <f>SUM(M52:N52)</f>
        <v>10000000</v>
      </c>
      <c r="P52" s="299"/>
    </row>
    <row r="53" spans="1:16" ht="14.25" customHeight="1" thickBot="1">
      <c r="A53" s="660"/>
      <c r="B53" s="661"/>
      <c r="C53" s="654" t="s">
        <v>79</v>
      </c>
      <c r="D53" s="253">
        <f>SUM(D51:D52)</f>
        <v>0</v>
      </c>
      <c r="E53" s="254">
        <f>SUM(E51:E52)</f>
        <v>0</v>
      </c>
      <c r="F53" s="255">
        <f t="shared" si="21"/>
        <v>0</v>
      </c>
      <c r="G53" s="253">
        <f>SUM(G51:G52)</f>
        <v>0</v>
      </c>
      <c r="H53" s="256">
        <f>SUM(H51:H52)</f>
        <v>0</v>
      </c>
      <c r="I53" s="256">
        <f>SUM(I51:I52)</f>
        <v>18869500</v>
      </c>
      <c r="J53" s="257"/>
      <c r="K53" s="258">
        <f aca="true" t="shared" si="22" ref="K53:P53">SUM(K51:K52)</f>
        <v>18869500</v>
      </c>
      <c r="L53" s="258">
        <f t="shared" si="22"/>
        <v>18869500</v>
      </c>
      <c r="M53" s="259">
        <f t="shared" si="22"/>
        <v>18869500</v>
      </c>
      <c r="N53" s="258">
        <f t="shared" si="22"/>
        <v>335000</v>
      </c>
      <c r="O53" s="260">
        <f t="shared" si="22"/>
        <v>19204500</v>
      </c>
      <c r="P53" s="627">
        <f t="shared" si="22"/>
        <v>0</v>
      </c>
    </row>
    <row r="54" spans="1:16" ht="14.25" customHeight="1" thickBot="1">
      <c r="A54" s="675"/>
      <c r="B54" s="676"/>
      <c r="C54" s="665" t="s">
        <v>345</v>
      </c>
      <c r="D54" s="547">
        <f>'T2-EU '!E31</f>
        <v>11226350</v>
      </c>
      <c r="E54" s="548">
        <f>'T2-EU '!F31</f>
        <v>11554801</v>
      </c>
      <c r="F54" s="541">
        <f t="shared" si="21"/>
        <v>22781151</v>
      </c>
      <c r="G54" s="547">
        <f>'T2-EU '!G31</f>
        <v>8250568</v>
      </c>
      <c r="H54" s="549">
        <f>'T2-EU '!H31</f>
        <v>168399</v>
      </c>
      <c r="I54" s="549">
        <f>'T2-EU '!I31</f>
        <v>10336576</v>
      </c>
      <c r="J54" s="550"/>
      <c r="K54" s="551">
        <f aca="true" t="shared" si="23" ref="K54:K64">SUM(I54:J54)</f>
        <v>10336576</v>
      </c>
      <c r="L54" s="551">
        <f aca="true" t="shared" si="24" ref="L54:L63">SUM(G54,H54,K54)</f>
        <v>18755543</v>
      </c>
      <c r="M54" s="552">
        <f aca="true" t="shared" si="25" ref="M54:M63">SUM(F54,L54)</f>
        <v>41536694</v>
      </c>
      <c r="N54" s="551"/>
      <c r="O54" s="553">
        <f>SUM(M54,N54)</f>
        <v>41536694</v>
      </c>
      <c r="P54" s="628">
        <f>'T2-EU '!K31</f>
        <v>31</v>
      </c>
    </row>
    <row r="55" spans="1:16" ht="14.25" customHeight="1">
      <c r="A55" s="149" t="s">
        <v>545</v>
      </c>
      <c r="B55" s="613" t="s">
        <v>476</v>
      </c>
      <c r="C55" s="568" t="s">
        <v>546</v>
      </c>
      <c r="D55" s="677"/>
      <c r="E55" s="266">
        <v>6600</v>
      </c>
      <c r="F55" s="236">
        <f t="shared" si="21"/>
        <v>6600</v>
      </c>
      <c r="G55" s="266"/>
      <c r="H55" s="266"/>
      <c r="I55" s="266">
        <v>284617</v>
      </c>
      <c r="J55" s="279"/>
      <c r="K55" s="239">
        <f t="shared" si="23"/>
        <v>284617</v>
      </c>
      <c r="L55" s="239">
        <f t="shared" si="24"/>
        <v>284617</v>
      </c>
      <c r="M55" s="240">
        <f t="shared" si="25"/>
        <v>291217</v>
      </c>
      <c r="N55" s="239"/>
      <c r="O55" s="241">
        <f aca="true" t="shared" si="26" ref="O55:O64">SUM(M55:N55)</f>
        <v>291217</v>
      </c>
      <c r="P55" s="623"/>
    </row>
    <row r="56" spans="1:16" ht="14.25" customHeight="1">
      <c r="A56" s="294" t="s">
        <v>547</v>
      </c>
      <c r="B56" s="609" t="s">
        <v>476</v>
      </c>
      <c r="C56" s="567" t="s">
        <v>548</v>
      </c>
      <c r="D56" s="270"/>
      <c r="E56" s="271"/>
      <c r="F56" s="249">
        <f t="shared" si="21"/>
        <v>0</v>
      </c>
      <c r="G56" s="244"/>
      <c r="H56" s="244"/>
      <c r="I56" s="271">
        <v>447000</v>
      </c>
      <c r="J56" s="265"/>
      <c r="K56" s="246">
        <f t="shared" si="23"/>
        <v>447000</v>
      </c>
      <c r="L56" s="246">
        <f t="shared" si="24"/>
        <v>447000</v>
      </c>
      <c r="M56" s="247">
        <f t="shared" si="25"/>
        <v>447000</v>
      </c>
      <c r="N56" s="246"/>
      <c r="O56" s="248">
        <f t="shared" si="26"/>
        <v>447000</v>
      </c>
      <c r="P56" s="299"/>
    </row>
    <row r="57" spans="1:16" ht="14.25" customHeight="1">
      <c r="A57" s="294" t="s">
        <v>549</v>
      </c>
      <c r="B57" s="609" t="s">
        <v>483</v>
      </c>
      <c r="C57" s="567" t="s">
        <v>550</v>
      </c>
      <c r="D57" s="270">
        <v>33969409</v>
      </c>
      <c r="E57" s="271">
        <v>13184000</v>
      </c>
      <c r="F57" s="249">
        <f>SUM(D57:E57)</f>
        <v>47153409</v>
      </c>
      <c r="G57" s="271">
        <v>13034770</v>
      </c>
      <c r="H57" s="271">
        <v>509541</v>
      </c>
      <c r="I57" s="271">
        <v>11253949</v>
      </c>
      <c r="J57" s="265"/>
      <c r="K57" s="246">
        <f>SUM(I57:J57)</f>
        <v>11253949</v>
      </c>
      <c r="L57" s="246">
        <f t="shared" si="24"/>
        <v>24798260</v>
      </c>
      <c r="M57" s="247">
        <f t="shared" si="25"/>
        <v>71951669</v>
      </c>
      <c r="N57" s="246">
        <v>50880000</v>
      </c>
      <c r="O57" s="248">
        <f t="shared" si="26"/>
        <v>122831669</v>
      </c>
      <c r="P57" s="626">
        <v>103.18</v>
      </c>
    </row>
    <row r="58" spans="1:16" ht="14.25" customHeight="1">
      <c r="A58" s="294" t="s">
        <v>551</v>
      </c>
      <c r="B58" s="609" t="s">
        <v>483</v>
      </c>
      <c r="C58" s="567" t="s">
        <v>552</v>
      </c>
      <c r="D58" s="270">
        <v>802200</v>
      </c>
      <c r="E58" s="271">
        <v>2118000</v>
      </c>
      <c r="F58" s="249">
        <f t="shared" si="21"/>
        <v>2920200</v>
      </c>
      <c r="G58" s="271">
        <v>644896</v>
      </c>
      <c r="H58" s="271">
        <v>12033</v>
      </c>
      <c r="I58" s="271">
        <v>1325989</v>
      </c>
      <c r="J58" s="265"/>
      <c r="K58" s="246">
        <f t="shared" si="23"/>
        <v>1325989</v>
      </c>
      <c r="L58" s="246">
        <f t="shared" si="24"/>
        <v>1982918</v>
      </c>
      <c r="M58" s="247">
        <f t="shared" si="25"/>
        <v>4903118</v>
      </c>
      <c r="N58" s="246"/>
      <c r="O58" s="248">
        <f t="shared" si="26"/>
        <v>4903118</v>
      </c>
      <c r="P58" s="626">
        <v>2</v>
      </c>
    </row>
    <row r="59" spans="1:16" ht="14.25" customHeight="1">
      <c r="A59" s="294" t="s">
        <v>553</v>
      </c>
      <c r="B59" s="609" t="s">
        <v>483</v>
      </c>
      <c r="C59" s="567" t="s">
        <v>554</v>
      </c>
      <c r="D59" s="270"/>
      <c r="E59" s="271">
        <v>5176000</v>
      </c>
      <c r="F59" s="249">
        <f>SUM(D59:E59)</f>
        <v>5176000</v>
      </c>
      <c r="G59" s="271">
        <v>650000</v>
      </c>
      <c r="H59" s="271"/>
      <c r="I59" s="271">
        <v>2381050</v>
      </c>
      <c r="J59" s="265"/>
      <c r="K59" s="246">
        <f>SUM(I59:J59)</f>
        <v>2381050</v>
      </c>
      <c r="L59" s="246">
        <f t="shared" si="24"/>
        <v>3031050</v>
      </c>
      <c r="M59" s="247">
        <f t="shared" si="25"/>
        <v>8207050</v>
      </c>
      <c r="N59" s="246"/>
      <c r="O59" s="248">
        <f t="shared" si="26"/>
        <v>8207050</v>
      </c>
      <c r="P59" s="299"/>
    </row>
    <row r="60" spans="1:16" ht="14.25" customHeight="1">
      <c r="A60" s="294" t="s">
        <v>555</v>
      </c>
      <c r="B60" s="609" t="s">
        <v>483</v>
      </c>
      <c r="C60" s="567" t="s">
        <v>556</v>
      </c>
      <c r="D60" s="270"/>
      <c r="E60" s="271">
        <v>3148500</v>
      </c>
      <c r="F60" s="249">
        <f>SUM(D60:E60)</f>
        <v>3148500</v>
      </c>
      <c r="G60" s="271">
        <v>26000</v>
      </c>
      <c r="H60" s="271"/>
      <c r="I60" s="271">
        <v>2044000</v>
      </c>
      <c r="J60" s="265"/>
      <c r="K60" s="246">
        <f>SUM(I60:J60)</f>
        <v>2044000</v>
      </c>
      <c r="L60" s="246">
        <f t="shared" si="24"/>
        <v>2070000</v>
      </c>
      <c r="M60" s="247">
        <f t="shared" si="25"/>
        <v>5218500</v>
      </c>
      <c r="N60" s="246"/>
      <c r="O60" s="248">
        <f t="shared" si="26"/>
        <v>5218500</v>
      </c>
      <c r="P60" s="299"/>
    </row>
    <row r="61" spans="1:16" ht="14.25" customHeight="1">
      <c r="A61" s="294" t="s">
        <v>557</v>
      </c>
      <c r="B61" s="609" t="s">
        <v>483</v>
      </c>
      <c r="C61" s="567" t="s">
        <v>558</v>
      </c>
      <c r="D61" s="270"/>
      <c r="E61" s="271"/>
      <c r="F61" s="249">
        <f>SUM(D61:E61)</f>
        <v>0</v>
      </c>
      <c r="G61" s="271"/>
      <c r="H61" s="271"/>
      <c r="I61" s="271">
        <v>871101</v>
      </c>
      <c r="J61" s="265"/>
      <c r="K61" s="246">
        <f>SUM(I61:J61)</f>
        <v>871101</v>
      </c>
      <c r="L61" s="246">
        <f t="shared" si="24"/>
        <v>871101</v>
      </c>
      <c r="M61" s="247">
        <f t="shared" si="25"/>
        <v>871101</v>
      </c>
      <c r="N61" s="246"/>
      <c r="O61" s="248">
        <f t="shared" si="26"/>
        <v>871101</v>
      </c>
      <c r="P61" s="299"/>
    </row>
    <row r="62" spans="1:16" ht="14.25" customHeight="1">
      <c r="A62" s="294" t="s">
        <v>559</v>
      </c>
      <c r="B62" s="609" t="s">
        <v>483</v>
      </c>
      <c r="C62" s="567" t="s">
        <v>560</v>
      </c>
      <c r="D62" s="270"/>
      <c r="E62" s="271"/>
      <c r="F62" s="249">
        <f>SUM(D62:E62)</f>
        <v>0</v>
      </c>
      <c r="G62" s="271"/>
      <c r="H62" s="271"/>
      <c r="I62" s="271">
        <v>224682</v>
      </c>
      <c r="J62" s="265"/>
      <c r="K62" s="246">
        <f>SUM(I62:J62)</f>
        <v>224682</v>
      </c>
      <c r="L62" s="246">
        <f t="shared" si="24"/>
        <v>224682</v>
      </c>
      <c r="M62" s="247">
        <f t="shared" si="25"/>
        <v>224682</v>
      </c>
      <c r="N62" s="246"/>
      <c r="O62" s="248">
        <f t="shared" si="26"/>
        <v>224682</v>
      </c>
      <c r="P62" s="299"/>
    </row>
    <row r="63" spans="1:16" ht="14.25" customHeight="1">
      <c r="A63" s="149" t="s">
        <v>561</v>
      </c>
      <c r="B63" s="613" t="s">
        <v>483</v>
      </c>
      <c r="C63" s="568" t="s">
        <v>562</v>
      </c>
      <c r="D63" s="677"/>
      <c r="E63" s="266">
        <v>200000</v>
      </c>
      <c r="F63" s="249">
        <f>SUM(D63:E63)</f>
        <v>200000</v>
      </c>
      <c r="G63" s="266"/>
      <c r="H63" s="266"/>
      <c r="I63" s="266"/>
      <c r="J63" s="265"/>
      <c r="K63" s="246">
        <f>SUM(I63:J63)</f>
        <v>0</v>
      </c>
      <c r="L63" s="246">
        <f t="shared" si="24"/>
        <v>0</v>
      </c>
      <c r="M63" s="247">
        <f t="shared" si="25"/>
        <v>200000</v>
      </c>
      <c r="N63" s="246"/>
      <c r="O63" s="248">
        <f t="shared" si="26"/>
        <v>200000</v>
      </c>
      <c r="P63" s="299"/>
    </row>
    <row r="64" spans="1:16" ht="13.5" thickBot="1">
      <c r="A64" s="149" t="s">
        <v>563</v>
      </c>
      <c r="B64" s="613" t="s">
        <v>483</v>
      </c>
      <c r="C64" s="568" t="s">
        <v>564</v>
      </c>
      <c r="D64" s="677"/>
      <c r="E64" s="266">
        <v>133000</v>
      </c>
      <c r="F64" s="249">
        <f t="shared" si="21"/>
        <v>133000</v>
      </c>
      <c r="G64" s="266"/>
      <c r="H64" s="266"/>
      <c r="I64" s="266">
        <v>65000</v>
      </c>
      <c r="J64" s="265"/>
      <c r="K64" s="246">
        <f t="shared" si="23"/>
        <v>65000</v>
      </c>
      <c r="L64" s="246">
        <f>G64+H64+K64</f>
        <v>65000</v>
      </c>
      <c r="M64" s="247">
        <f>F64+L64</f>
        <v>198000</v>
      </c>
      <c r="N64" s="246"/>
      <c r="O64" s="248">
        <f t="shared" si="26"/>
        <v>198000</v>
      </c>
      <c r="P64" s="299"/>
    </row>
    <row r="65" spans="1:16" ht="14.25" customHeight="1" thickBot="1">
      <c r="A65" s="660"/>
      <c r="B65" s="661"/>
      <c r="C65" s="654" t="s">
        <v>196</v>
      </c>
      <c r="D65" s="253">
        <f aca="true" t="shared" si="27" ref="D65:I65">SUM(D54:D64)</f>
        <v>45997959</v>
      </c>
      <c r="E65" s="254">
        <f t="shared" si="27"/>
        <v>35520901</v>
      </c>
      <c r="F65" s="255">
        <f t="shared" si="27"/>
        <v>81518860</v>
      </c>
      <c r="G65" s="253">
        <f t="shared" si="27"/>
        <v>22606234</v>
      </c>
      <c r="H65" s="256">
        <f t="shared" si="27"/>
        <v>689973</v>
      </c>
      <c r="I65" s="256">
        <f t="shared" si="27"/>
        <v>29233964</v>
      </c>
      <c r="J65" s="257"/>
      <c r="K65" s="258">
        <f aca="true" t="shared" si="28" ref="K65:P65">SUM(K54:K64)</f>
        <v>29233964</v>
      </c>
      <c r="L65" s="258">
        <f t="shared" si="28"/>
        <v>52530171</v>
      </c>
      <c r="M65" s="259">
        <f t="shared" si="28"/>
        <v>134049031</v>
      </c>
      <c r="N65" s="258">
        <f t="shared" si="28"/>
        <v>50880000</v>
      </c>
      <c r="O65" s="260">
        <f t="shared" si="28"/>
        <v>184929031</v>
      </c>
      <c r="P65" s="627">
        <f t="shared" si="28"/>
        <v>136.18</v>
      </c>
    </row>
    <row r="66" spans="1:19" ht="14.25" customHeight="1" thickBot="1">
      <c r="A66" s="678"/>
      <c r="B66" s="679"/>
      <c r="C66" s="645" t="s">
        <v>346</v>
      </c>
      <c r="D66" s="539">
        <f>'T2-EU '!E35</f>
        <v>0</v>
      </c>
      <c r="E66" s="540">
        <f>'T2-EU '!F35</f>
        <v>0</v>
      </c>
      <c r="F66" s="541">
        <f>SUM(D66:E66)</f>
        <v>0</v>
      </c>
      <c r="G66" s="539">
        <f>'T2-EU '!G35</f>
        <v>0</v>
      </c>
      <c r="H66" s="542">
        <f>'T2-EU '!H35</f>
        <v>0</v>
      </c>
      <c r="I66" s="542">
        <f>'T2-EU '!I35</f>
        <v>308000</v>
      </c>
      <c r="J66" s="543"/>
      <c r="K66" s="544">
        <f>SUM(I66:J66)</f>
        <v>308000</v>
      </c>
      <c r="L66" s="544">
        <f>SUM(G66,H66,K66)</f>
        <v>308000</v>
      </c>
      <c r="M66" s="545">
        <f>SUM(F66,L66)</f>
        <v>308000</v>
      </c>
      <c r="N66" s="544"/>
      <c r="O66" s="546">
        <f>SUM(M66,N66)</f>
        <v>308000</v>
      </c>
      <c r="P66" s="622">
        <f>'T2-EU '!K35</f>
        <v>0</v>
      </c>
      <c r="S66" s="400"/>
    </row>
    <row r="67" spans="1:16" ht="14.25" customHeight="1">
      <c r="A67" s="294" t="s">
        <v>567</v>
      </c>
      <c r="B67" s="609" t="s">
        <v>476</v>
      </c>
      <c r="C67" s="567" t="s">
        <v>568</v>
      </c>
      <c r="D67" s="271">
        <v>24167386</v>
      </c>
      <c r="E67" s="271">
        <v>31219845</v>
      </c>
      <c r="F67" s="236">
        <f>SUM(D67:E67)</f>
        <v>55387231</v>
      </c>
      <c r="G67" s="271">
        <v>19078502</v>
      </c>
      <c r="H67" s="271">
        <v>362511</v>
      </c>
      <c r="I67" s="271">
        <v>110510450</v>
      </c>
      <c r="J67" s="279"/>
      <c r="K67" s="239">
        <f>SUM(I67:J67)</f>
        <v>110510450</v>
      </c>
      <c r="L67" s="239">
        <f>SUM(G67,H67,K67)</f>
        <v>129951463</v>
      </c>
      <c r="M67" s="240">
        <f>SUM(F67,L67)</f>
        <v>185338694</v>
      </c>
      <c r="N67" s="239">
        <v>7185000</v>
      </c>
      <c r="O67" s="241">
        <f>SUM(M67:N67)</f>
        <v>192523694</v>
      </c>
      <c r="P67" s="623">
        <v>70</v>
      </c>
    </row>
    <row r="68" spans="1:16" ht="14.25" customHeight="1">
      <c r="A68" s="294" t="s">
        <v>569</v>
      </c>
      <c r="B68" s="609" t="s">
        <v>476</v>
      </c>
      <c r="C68" s="567" t="s">
        <v>570</v>
      </c>
      <c r="D68" s="271"/>
      <c r="E68" s="271"/>
      <c r="F68" s="249">
        <f>SUM(D68:E68)</f>
        <v>0</v>
      </c>
      <c r="G68" s="271"/>
      <c r="H68" s="271"/>
      <c r="I68" s="271">
        <v>255402</v>
      </c>
      <c r="J68" s="265"/>
      <c r="K68" s="246">
        <f>SUM(I68:J68)</f>
        <v>255402</v>
      </c>
      <c r="L68" s="246">
        <f>SUM(G68,H68,K68)</f>
        <v>255402</v>
      </c>
      <c r="M68" s="247">
        <f>SUM(F68,L68)</f>
        <v>255402</v>
      </c>
      <c r="N68" s="246"/>
      <c r="O68" s="248">
        <f>SUM(M68:N68)</f>
        <v>255402</v>
      </c>
      <c r="P68" s="299"/>
    </row>
    <row r="69" spans="1:16" ht="14.25" customHeight="1" thickBot="1">
      <c r="A69" s="294" t="s">
        <v>571</v>
      </c>
      <c r="B69" s="609" t="s">
        <v>476</v>
      </c>
      <c r="C69" s="567" t="s">
        <v>572</v>
      </c>
      <c r="D69" s="271"/>
      <c r="E69" s="271">
        <v>2991690</v>
      </c>
      <c r="F69" s="249">
        <f>SUM(D69:E69)</f>
        <v>2991690</v>
      </c>
      <c r="G69" s="271">
        <v>770331</v>
      </c>
      <c r="H69" s="271"/>
      <c r="I69" s="271">
        <v>3127167</v>
      </c>
      <c r="J69" s="265"/>
      <c r="K69" s="246">
        <f>SUM(I69:J69)</f>
        <v>3127167</v>
      </c>
      <c r="L69" s="246">
        <f>SUM(G69,H69,K69)</f>
        <v>3897498</v>
      </c>
      <c r="M69" s="247">
        <f>SUM(F69,L69)</f>
        <v>6889188</v>
      </c>
      <c r="N69" s="246"/>
      <c r="O69" s="248">
        <f>SUM(M69:N69)</f>
        <v>6889188</v>
      </c>
      <c r="P69" s="299"/>
    </row>
    <row r="70" spans="1:17" ht="14.25" customHeight="1" thickBot="1">
      <c r="A70" s="660"/>
      <c r="B70" s="661"/>
      <c r="C70" s="654" t="s">
        <v>202</v>
      </c>
      <c r="D70" s="253">
        <f aca="true" t="shared" si="29" ref="D70:I70">SUM(D66:D69)</f>
        <v>24167386</v>
      </c>
      <c r="E70" s="254">
        <f t="shared" si="29"/>
        <v>34211535</v>
      </c>
      <c r="F70" s="255">
        <f t="shared" si="29"/>
        <v>58378921</v>
      </c>
      <c r="G70" s="253">
        <f t="shared" si="29"/>
        <v>19848833</v>
      </c>
      <c r="H70" s="256">
        <f t="shared" si="29"/>
        <v>362511</v>
      </c>
      <c r="I70" s="256">
        <f t="shared" si="29"/>
        <v>114201019</v>
      </c>
      <c r="J70" s="257"/>
      <c r="K70" s="258">
        <f aca="true" t="shared" si="30" ref="K70:P70">SUM(K66:K69)</f>
        <v>114201019</v>
      </c>
      <c r="L70" s="258">
        <f t="shared" si="30"/>
        <v>134412363</v>
      </c>
      <c r="M70" s="259">
        <f t="shared" si="30"/>
        <v>192791284</v>
      </c>
      <c r="N70" s="258">
        <f t="shared" si="30"/>
        <v>7185000</v>
      </c>
      <c r="O70" s="260">
        <f t="shared" si="30"/>
        <v>199976284</v>
      </c>
      <c r="P70" s="627">
        <f t="shared" si="30"/>
        <v>70</v>
      </c>
      <c r="Q70" s="79"/>
    </row>
    <row r="71" spans="1:16" ht="12.75">
      <c r="A71" s="149" t="s">
        <v>573</v>
      </c>
      <c r="B71" s="613" t="s">
        <v>476</v>
      </c>
      <c r="C71" s="568" t="s">
        <v>574</v>
      </c>
      <c r="D71" s="266">
        <v>2015950</v>
      </c>
      <c r="E71" s="266">
        <v>890000</v>
      </c>
      <c r="F71" s="267">
        <f>SUM(D71:E71)</f>
        <v>2905950</v>
      </c>
      <c r="G71" s="266">
        <v>988023</v>
      </c>
      <c r="H71" s="266">
        <v>30239</v>
      </c>
      <c r="I71" s="266">
        <v>1153000</v>
      </c>
      <c r="J71" s="282"/>
      <c r="K71" s="283">
        <f>SUM(I71:J71)</f>
        <v>1153000</v>
      </c>
      <c r="L71" s="283">
        <f>SUM(G71:I71)</f>
        <v>2171262</v>
      </c>
      <c r="M71" s="240">
        <f>SUM(F71,L71)</f>
        <v>5077212</v>
      </c>
      <c r="N71" s="239">
        <v>930000</v>
      </c>
      <c r="O71" s="241">
        <f>SUM(M71:N71)</f>
        <v>6007212</v>
      </c>
      <c r="P71" s="629">
        <v>6</v>
      </c>
    </row>
    <row r="72" spans="1:16" ht="12.75">
      <c r="A72" s="294" t="s">
        <v>575</v>
      </c>
      <c r="B72" s="609" t="s">
        <v>476</v>
      </c>
      <c r="C72" s="567" t="s">
        <v>576</v>
      </c>
      <c r="D72" s="271"/>
      <c r="E72" s="271">
        <v>75000</v>
      </c>
      <c r="F72" s="565">
        <f>SUM(D72:E72)</f>
        <v>75000</v>
      </c>
      <c r="G72" s="271"/>
      <c r="H72" s="271"/>
      <c r="I72" s="271">
        <v>75000</v>
      </c>
      <c r="J72" s="268"/>
      <c r="K72" s="269">
        <f>SUM(I72:J72)</f>
        <v>75000</v>
      </c>
      <c r="L72" s="269">
        <f>SUM(G72,H72,K72)</f>
        <v>75000</v>
      </c>
      <c r="M72" s="263">
        <f>SUM(F72,L72)</f>
        <v>150000</v>
      </c>
      <c r="N72" s="262"/>
      <c r="O72" s="566">
        <f>SUM(M72:N72)</f>
        <v>150000</v>
      </c>
      <c r="P72" s="629"/>
    </row>
    <row r="73" spans="1:16" ht="14.25" customHeight="1" thickBot="1">
      <c r="A73" s="294" t="s">
        <v>577</v>
      </c>
      <c r="B73" s="609" t="s">
        <v>476</v>
      </c>
      <c r="C73" s="567" t="s">
        <v>578</v>
      </c>
      <c r="D73" s="271"/>
      <c r="E73" s="271"/>
      <c r="F73" s="249">
        <f>SUM(D73:E73)</f>
        <v>0</v>
      </c>
      <c r="G73" s="271"/>
      <c r="H73" s="271"/>
      <c r="I73" s="271">
        <v>413068</v>
      </c>
      <c r="J73" s="265"/>
      <c r="K73" s="274">
        <f>SUM(I73:J73)</f>
        <v>413068</v>
      </c>
      <c r="L73" s="274">
        <f>SUM(G73,H73,K73)</f>
        <v>413068</v>
      </c>
      <c r="M73" s="247">
        <f>SUM(F73,L73)</f>
        <v>413068</v>
      </c>
      <c r="N73" s="246"/>
      <c r="O73" s="248">
        <f>SUM(M73:N73)</f>
        <v>413068</v>
      </c>
      <c r="P73" s="626"/>
    </row>
    <row r="74" spans="1:16" ht="14.25" customHeight="1" thickBot="1">
      <c r="A74" s="660"/>
      <c r="B74" s="661"/>
      <c r="C74" s="654" t="s">
        <v>122</v>
      </c>
      <c r="D74" s="253">
        <f>SUM(D71:D73)</f>
        <v>2015950</v>
      </c>
      <c r="E74" s="253">
        <f aca="true" t="shared" si="31" ref="E74:P74">SUM(E71:E73)</f>
        <v>965000</v>
      </c>
      <c r="F74" s="253">
        <f t="shared" si="31"/>
        <v>2980950</v>
      </c>
      <c r="G74" s="253">
        <f t="shared" si="31"/>
        <v>988023</v>
      </c>
      <c r="H74" s="253">
        <f t="shared" si="31"/>
        <v>30239</v>
      </c>
      <c r="I74" s="253">
        <f t="shared" si="31"/>
        <v>1641068</v>
      </c>
      <c r="J74" s="253">
        <f t="shared" si="31"/>
        <v>0</v>
      </c>
      <c r="K74" s="253">
        <f t="shared" si="31"/>
        <v>1641068</v>
      </c>
      <c r="L74" s="253">
        <f t="shared" si="31"/>
        <v>2659330</v>
      </c>
      <c r="M74" s="253">
        <f t="shared" si="31"/>
        <v>5640280</v>
      </c>
      <c r="N74" s="253">
        <f t="shared" si="31"/>
        <v>930000</v>
      </c>
      <c r="O74" s="253">
        <f t="shared" si="31"/>
        <v>6570280</v>
      </c>
      <c r="P74" s="715">
        <f t="shared" si="31"/>
        <v>6</v>
      </c>
    </row>
    <row r="75" spans="1:16" ht="14.25" customHeight="1">
      <c r="A75" s="149" t="s">
        <v>579</v>
      </c>
      <c r="B75" s="613" t="s">
        <v>476</v>
      </c>
      <c r="C75" s="568" t="s">
        <v>580</v>
      </c>
      <c r="D75" s="266">
        <v>2820079</v>
      </c>
      <c r="E75" s="266">
        <v>784182</v>
      </c>
      <c r="F75" s="267">
        <f>SUM(D75:E75)</f>
        <v>3604261</v>
      </c>
      <c r="G75" s="266">
        <v>973808</v>
      </c>
      <c r="H75" s="266">
        <v>42301</v>
      </c>
      <c r="I75" s="266">
        <v>9298997</v>
      </c>
      <c r="J75" s="282"/>
      <c r="K75" s="283">
        <f>SUM(I75:J75)</f>
        <v>9298997</v>
      </c>
      <c r="L75" s="283">
        <f>SUM(G75,H75,K75)</f>
        <v>10315106</v>
      </c>
      <c r="M75" s="240">
        <f>SUM(F75,L75)</f>
        <v>13919367</v>
      </c>
      <c r="N75" s="239">
        <v>720000</v>
      </c>
      <c r="O75" s="238">
        <f>SUM(M75:N75)</f>
        <v>14639367</v>
      </c>
      <c r="P75" s="630">
        <v>6</v>
      </c>
    </row>
    <row r="76" spans="1:16" ht="14.25" customHeight="1" thickBot="1">
      <c r="A76" s="680"/>
      <c r="B76" s="681"/>
      <c r="C76" s="682" t="s">
        <v>80</v>
      </c>
      <c r="D76" s="284">
        <f aca="true" t="shared" si="32" ref="D76:I76">SUM(D75:D75)</f>
        <v>2820079</v>
      </c>
      <c r="E76" s="285">
        <f t="shared" si="32"/>
        <v>784182</v>
      </c>
      <c r="F76" s="301">
        <f t="shared" si="32"/>
        <v>3604261</v>
      </c>
      <c r="G76" s="285">
        <f t="shared" si="32"/>
        <v>973808</v>
      </c>
      <c r="H76" s="285">
        <f t="shared" si="32"/>
        <v>42301</v>
      </c>
      <c r="I76" s="285">
        <f t="shared" si="32"/>
        <v>9298997</v>
      </c>
      <c r="J76" s="286"/>
      <c r="K76" s="302">
        <f aca="true" t="shared" si="33" ref="K76:P76">SUM(K75:K75)</f>
        <v>9298997</v>
      </c>
      <c r="L76" s="302">
        <f t="shared" si="33"/>
        <v>10315106</v>
      </c>
      <c r="M76" s="303">
        <f t="shared" si="33"/>
        <v>13919367</v>
      </c>
      <c r="N76" s="302">
        <f t="shared" si="33"/>
        <v>720000</v>
      </c>
      <c r="O76" s="304">
        <f t="shared" si="33"/>
        <v>14639367</v>
      </c>
      <c r="P76" s="631">
        <f t="shared" si="33"/>
        <v>6</v>
      </c>
    </row>
    <row r="77" spans="1:182" s="54" customFormat="1" ht="21" customHeight="1" thickBot="1">
      <c r="A77" s="683"/>
      <c r="B77" s="683"/>
      <c r="C77" s="684" t="s">
        <v>115</v>
      </c>
      <c r="D77" s="554">
        <f aca="true" t="shared" si="34" ref="D77:O77">SUM(D19+D34+D40+D50+D53+D65+D70+D74+D76)</f>
        <v>268954240</v>
      </c>
      <c r="E77" s="554">
        <f t="shared" si="34"/>
        <v>138995155</v>
      </c>
      <c r="F77" s="554">
        <f t="shared" si="34"/>
        <v>407949395</v>
      </c>
      <c r="G77" s="554">
        <f t="shared" si="34"/>
        <v>122929902.31</v>
      </c>
      <c r="H77" s="554">
        <f t="shared" si="34"/>
        <v>4066715</v>
      </c>
      <c r="I77" s="554">
        <f t="shared" si="34"/>
        <v>643133967.65</v>
      </c>
      <c r="J77" s="554">
        <f t="shared" si="34"/>
        <v>0</v>
      </c>
      <c r="K77" s="555">
        <f t="shared" si="34"/>
        <v>643133967.65</v>
      </c>
      <c r="L77" s="555">
        <f t="shared" si="34"/>
        <v>770130584.96</v>
      </c>
      <c r="M77" s="556">
        <f t="shared" si="34"/>
        <v>1178079979.96</v>
      </c>
      <c r="N77" s="555">
        <f t="shared" si="34"/>
        <v>84404000</v>
      </c>
      <c r="O77" s="557">
        <f t="shared" si="34"/>
        <v>1262483979.96</v>
      </c>
      <c r="P77" s="632">
        <f>SUM(P19+P34+P40+P50+P53+P65+P70+P74+P76)</f>
        <v>802.77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</row>
    <row r="79" spans="4:16" ht="12.75">
      <c r="D79" s="400"/>
      <c r="O79" t="s">
        <v>637</v>
      </c>
      <c r="P79" s="938">
        <f>P77-'T2-EU '!K36</f>
        <v>681.4</v>
      </c>
    </row>
    <row r="80" spans="12:16" ht="12.75">
      <c r="L80" s="79"/>
      <c r="N80" s="400"/>
      <c r="O80" t="s">
        <v>636</v>
      </c>
      <c r="P80">
        <v>713.4</v>
      </c>
    </row>
    <row r="81" spans="12:16" ht="12.75">
      <c r="L81" s="79"/>
      <c r="N81" s="400"/>
      <c r="O81" t="s">
        <v>635</v>
      </c>
      <c r="P81" s="938">
        <f>P79-P80</f>
        <v>-32</v>
      </c>
    </row>
    <row r="82" spans="12:14" ht="12.75">
      <c r="L82" s="400"/>
      <c r="N82" s="400"/>
    </row>
    <row r="83" spans="12:14" ht="12.75">
      <c r="L83" s="400"/>
      <c r="N83" s="400"/>
    </row>
    <row r="84" spans="11:14" ht="12.75">
      <c r="K84" s="400"/>
      <c r="N84" s="400"/>
    </row>
    <row r="85" ht="12.75">
      <c r="N85" s="400"/>
    </row>
  </sheetData>
  <sheetProtection/>
  <printOptions horizontalCentered="1"/>
  <pageMargins left="0" right="0" top="0.5905511811023623" bottom="0" header="0.5118110236220472" footer="0.5118110236220472"/>
  <pageSetup fitToHeight="1" fitToWidth="1" horizontalDpi="600" verticalDpi="600" orientation="landscape" paperSize="8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60" zoomScalePageLayoutView="0" workbookViewId="0" topLeftCell="A1">
      <selection activeCell="G34" sqref="G34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12.140625" style="0" customWidth="1"/>
    <col min="4" max="4" width="12.7109375" style="0" bestFit="1" customWidth="1"/>
    <col min="5" max="5" width="15.28125" style="0" customWidth="1"/>
    <col min="6" max="6" width="14.8515625" style="0" customWidth="1"/>
    <col min="7" max="7" width="13.00390625" style="0" customWidth="1"/>
    <col min="8" max="8" width="13.421875" style="0" customWidth="1"/>
    <col min="9" max="9" width="13.00390625" style="0" customWidth="1"/>
    <col min="10" max="10" width="14.8515625" style="0" customWidth="1"/>
    <col min="13" max="13" width="13.7109375" style="0" bestFit="1" customWidth="1"/>
  </cols>
  <sheetData>
    <row r="1" spans="9:10" ht="15.75">
      <c r="I1" s="2"/>
      <c r="J1" s="42" t="s">
        <v>90</v>
      </c>
    </row>
    <row r="2" spans="1:10" ht="15.75">
      <c r="A2" s="53" t="s">
        <v>584</v>
      </c>
      <c r="B2" s="86"/>
      <c r="C2" s="86"/>
      <c r="D2" s="86"/>
      <c r="E2" s="86"/>
      <c r="F2" s="86"/>
      <c r="J2" s="86"/>
    </row>
    <row r="3" ht="12.75">
      <c r="A3" s="39"/>
    </row>
    <row r="4" ht="12.75">
      <c r="A4" s="39"/>
    </row>
    <row r="5" spans="8:10" ht="13.5" thickBot="1">
      <c r="H5" s="62"/>
      <c r="I5" s="62"/>
      <c r="J5" s="117" t="s">
        <v>317</v>
      </c>
    </row>
    <row r="6" spans="1:10" ht="12.75" customHeight="1">
      <c r="A6" s="1014" t="s">
        <v>82</v>
      </c>
      <c r="B6" s="1017" t="s">
        <v>361</v>
      </c>
      <c r="C6" s="1018"/>
      <c r="D6" s="1019"/>
      <c r="E6" s="1020" t="s">
        <v>360</v>
      </c>
      <c r="F6" s="1022" t="s">
        <v>359</v>
      </c>
      <c r="G6" s="1023"/>
      <c r="H6" s="1023"/>
      <c r="I6" s="1024"/>
      <c r="J6" s="1016" t="s">
        <v>625</v>
      </c>
    </row>
    <row r="7" spans="1:10" ht="54" customHeight="1" thickBot="1">
      <c r="A7" s="1015"/>
      <c r="B7" s="829" t="s">
        <v>357</v>
      </c>
      <c r="C7" s="830" t="s">
        <v>358</v>
      </c>
      <c r="D7" s="831" t="s">
        <v>205</v>
      </c>
      <c r="E7" s="1021"/>
      <c r="F7" s="832" t="s">
        <v>354</v>
      </c>
      <c r="G7" s="833" t="s">
        <v>356</v>
      </c>
      <c r="H7" s="832" t="s">
        <v>355</v>
      </c>
      <c r="I7" s="834" t="s">
        <v>403</v>
      </c>
      <c r="J7" s="1015"/>
    </row>
    <row r="8" spans="1:10" ht="12.75">
      <c r="A8" s="828"/>
      <c r="B8" s="835">
        <v>1</v>
      </c>
      <c r="C8" s="836">
        <v>2</v>
      </c>
      <c r="D8" s="837">
        <v>3</v>
      </c>
      <c r="E8" s="838">
        <v>4</v>
      </c>
      <c r="F8" s="839">
        <v>5</v>
      </c>
      <c r="G8" s="840">
        <v>6</v>
      </c>
      <c r="H8" s="840">
        <v>7</v>
      </c>
      <c r="I8" s="841">
        <v>8</v>
      </c>
      <c r="J8" s="828">
        <v>9</v>
      </c>
    </row>
    <row r="9" spans="1:10" ht="12.75">
      <c r="A9" s="813" t="s">
        <v>330</v>
      </c>
      <c r="B9" s="797">
        <f>'T1-UR16'!N19</f>
        <v>5295000</v>
      </c>
      <c r="C9" s="101"/>
      <c r="D9" s="798">
        <f aca="true" t="shared" si="0" ref="D9:D17">B9-C9</f>
        <v>5295000</v>
      </c>
      <c r="E9" s="314">
        <f>'T12-HV-HC'!D55+'T12-HV-HC'!D71+I9</f>
        <v>45801342.03</v>
      </c>
      <c r="F9" s="315">
        <f>'T12-HV-HC'!D55-'T12-HV-HC'!D69</f>
        <v>1781982.5699999998</v>
      </c>
      <c r="G9" s="316">
        <f>'T12-HV-HC'!D69</f>
        <v>875045.75</v>
      </c>
      <c r="H9" s="316">
        <f>'T12-HV-HC'!D71</f>
        <v>36939522.8</v>
      </c>
      <c r="I9" s="317">
        <f>'T13-HV-JC '!D55+'T13-HV-JC '!D70</f>
        <v>6204790.91</v>
      </c>
      <c r="J9" s="318">
        <f>E9-D9</f>
        <v>40506342.03</v>
      </c>
    </row>
    <row r="10" spans="1:10" ht="12.75">
      <c r="A10" s="813" t="s">
        <v>201</v>
      </c>
      <c r="B10" s="797">
        <f>'T1-UR16'!N34</f>
        <v>2715000</v>
      </c>
      <c r="C10" s="101"/>
      <c r="D10" s="798">
        <f t="shared" si="0"/>
        <v>2715000</v>
      </c>
      <c r="E10" s="314">
        <f>'T12-HV-HC'!E55+'T12-HV-HC'!E71+I10</f>
        <v>9581569.58</v>
      </c>
      <c r="F10" s="315">
        <f>'T12-HV-HC'!E55-'T12-HV-HC'!E69</f>
        <v>5791562.640000001</v>
      </c>
      <c r="G10" s="316">
        <f>'T12-HV-HC'!E69</f>
        <v>2832974.68</v>
      </c>
      <c r="H10" s="316">
        <f>'T12-HV-HC'!E71</f>
        <v>246.7</v>
      </c>
      <c r="I10" s="317">
        <f>'T13-HV-JC '!E55+'T13-HV-JC '!E70</f>
        <v>956785.56</v>
      </c>
      <c r="J10" s="318">
        <f aca="true" t="shared" si="1" ref="J10:J17">E10-D10</f>
        <v>6866569.58</v>
      </c>
    </row>
    <row r="11" spans="1:10" ht="12.75">
      <c r="A11" s="813" t="s">
        <v>331</v>
      </c>
      <c r="B11" s="797">
        <f>'T1-UR16'!N40</f>
        <v>1350000</v>
      </c>
      <c r="C11" s="101"/>
      <c r="D11" s="798">
        <f t="shared" si="0"/>
        <v>1350000</v>
      </c>
      <c r="E11" s="314">
        <f>'T12-HV-HC'!F55+'T12-HV-HC'!F71+I11</f>
        <v>5164247.140000001</v>
      </c>
      <c r="F11" s="315">
        <f>'T12-HV-HC'!F55-'T12-HV-HC'!F69</f>
        <v>1724294.9300000006</v>
      </c>
      <c r="G11" s="316">
        <f>'T12-HV-HC'!F69</f>
        <v>3439952.21</v>
      </c>
      <c r="H11" s="319">
        <f>'T12-HV-HC'!F71</f>
        <v>0</v>
      </c>
      <c r="I11" s="320"/>
      <c r="J11" s="318">
        <f t="shared" si="1"/>
        <v>3814247.1400000006</v>
      </c>
    </row>
    <row r="12" spans="1:10" s="52" customFormat="1" ht="12.75">
      <c r="A12" s="814" t="s">
        <v>332</v>
      </c>
      <c r="B12" s="797">
        <f>'T1-UR16'!N50</f>
        <v>14994000</v>
      </c>
      <c r="C12" s="101"/>
      <c r="D12" s="798">
        <f t="shared" si="0"/>
        <v>14994000</v>
      </c>
      <c r="E12" s="314">
        <f>'T12-HV-HC'!G55+'T12-HV-HC'!G71+I12</f>
        <v>26543175.319999997</v>
      </c>
      <c r="F12" s="315">
        <f>'T12-HV-HC'!G55-'T12-HV-HC'!G69</f>
        <v>25388447.99</v>
      </c>
      <c r="G12" s="316">
        <f>'T12-HV-HC'!G69</f>
        <v>1078997.25</v>
      </c>
      <c r="H12" s="316">
        <f>'T12-HV-HC'!G71</f>
        <v>19523.469999999998</v>
      </c>
      <c r="I12" s="317">
        <f>'T13-HV-JC '!F55+'T13-HV-JC '!F70</f>
        <v>56206.61</v>
      </c>
      <c r="J12" s="318">
        <f t="shared" si="1"/>
        <v>11549175.319999997</v>
      </c>
    </row>
    <row r="13" spans="1:10" ht="12.75">
      <c r="A13" s="813" t="s">
        <v>333</v>
      </c>
      <c r="B13" s="797">
        <f>'T1-UR16'!N53</f>
        <v>335000</v>
      </c>
      <c r="C13" s="799"/>
      <c r="D13" s="800">
        <f t="shared" si="0"/>
        <v>335000</v>
      </c>
      <c r="E13" s="314">
        <f>'T12-HV-HC'!H55+'T12-HV-HC'!H71+I13</f>
        <v>3276108.14</v>
      </c>
      <c r="F13" s="315">
        <f>'T12-HV-HC'!H55-'T12-HV-HC'!H69</f>
        <v>2461499.75</v>
      </c>
      <c r="G13" s="102">
        <f>'T12-HV-HC'!H69</f>
        <v>0</v>
      </c>
      <c r="H13" s="316">
        <f>'T12-HV-HC'!H71</f>
        <v>814608.39</v>
      </c>
      <c r="I13" s="317"/>
      <c r="J13" s="318">
        <f t="shared" si="1"/>
        <v>2941108.14</v>
      </c>
    </row>
    <row r="14" spans="1:10" ht="12.75">
      <c r="A14" s="813" t="s">
        <v>334</v>
      </c>
      <c r="B14" s="797">
        <f>'T1-UR16'!N65</f>
        <v>50880000</v>
      </c>
      <c r="C14" s="799"/>
      <c r="D14" s="800">
        <f t="shared" si="0"/>
        <v>50880000</v>
      </c>
      <c r="E14" s="314">
        <f>'T12-HV-HC'!I55+'T12-HV-HC'!I71+I14</f>
        <v>51785810.57</v>
      </c>
      <c r="F14" s="315">
        <f>'T12-HV-HC'!I55-'T12-HV-HC'!I69</f>
        <v>38938462.919999994</v>
      </c>
      <c r="G14" s="102">
        <f>'T12-HV-HC'!I69</f>
        <v>6937120.18</v>
      </c>
      <c r="H14" s="102">
        <f>'T12-HV-HC'!I71</f>
        <v>8226.2</v>
      </c>
      <c r="I14" s="317">
        <f>'T13-HV-JC '!G55+'T13-HV-JC '!G70</f>
        <v>5902001.2700000005</v>
      </c>
      <c r="J14" s="318">
        <f t="shared" si="1"/>
        <v>905810.5700000003</v>
      </c>
    </row>
    <row r="15" spans="1:10" ht="12.75">
      <c r="A15" s="813" t="s">
        <v>202</v>
      </c>
      <c r="B15" s="797">
        <f>'T1-UR16'!N70</f>
        <v>7185000</v>
      </c>
      <c r="C15" s="101"/>
      <c r="D15" s="798">
        <f t="shared" si="0"/>
        <v>7185000</v>
      </c>
      <c r="E15" s="314">
        <f>'T12-HV-HC'!J55+'T12-HV-HC'!J71+I15</f>
        <v>5967269.85</v>
      </c>
      <c r="F15" s="315">
        <f>'T12-HV-HC'!J55-'T12-HV-HC'!J69</f>
        <v>268734.0999999996</v>
      </c>
      <c r="G15" s="102">
        <f>'T12-HV-HC'!J69</f>
        <v>5288369.49</v>
      </c>
      <c r="H15" s="102">
        <f>'T12-HV-HC'!J71</f>
        <v>21829.8</v>
      </c>
      <c r="I15" s="317">
        <f>'T13-HV-JC '!H55+'T13-HV-JC '!H70</f>
        <v>388336.46</v>
      </c>
      <c r="J15" s="318">
        <f t="shared" si="1"/>
        <v>-1217730.1500000004</v>
      </c>
    </row>
    <row r="16" spans="1:10" ht="12.75">
      <c r="A16" s="813" t="s">
        <v>3</v>
      </c>
      <c r="B16" s="797">
        <f>'T1-UR16'!N74</f>
        <v>930000</v>
      </c>
      <c r="C16" s="101"/>
      <c r="D16" s="798">
        <f t="shared" si="0"/>
        <v>930000</v>
      </c>
      <c r="E16" s="314">
        <f>'T12-HV-HC'!K55+'T12-HV-HC'!K71+I16</f>
        <v>723025.9799999999</v>
      </c>
      <c r="F16" s="315">
        <f>'T12-HV-HC'!K55-'T12-HV-HC'!K69</f>
        <v>1073934.22</v>
      </c>
      <c r="G16" s="102">
        <f>'T12-HV-HC'!K69</f>
        <v>-352344.59</v>
      </c>
      <c r="H16" s="102">
        <f>'T12-HV-HC'!K71</f>
        <v>1436.35</v>
      </c>
      <c r="I16" s="317"/>
      <c r="J16" s="318">
        <f t="shared" si="1"/>
        <v>-206974.02000000014</v>
      </c>
    </row>
    <row r="17" spans="1:10" ht="13.5" thickBot="1">
      <c r="A17" s="815" t="s">
        <v>443</v>
      </c>
      <c r="B17" s="817">
        <f>'T1-UR16'!N76</f>
        <v>720000</v>
      </c>
      <c r="C17" s="198"/>
      <c r="D17" s="818">
        <f t="shared" si="0"/>
        <v>720000</v>
      </c>
      <c r="E17" s="819">
        <f>'T12-HV-HC'!L55+'T12-HV-HC'!L71+I17</f>
        <v>1390363.8099999998</v>
      </c>
      <c r="F17" s="820">
        <f>'T12-HV-HC'!L55-'T12-HV-HC'!L69</f>
        <v>1370975.66</v>
      </c>
      <c r="G17" s="821">
        <f>'T12-HV-HC'!L69</f>
        <v>18307</v>
      </c>
      <c r="H17" s="821">
        <f>'T12-HV-HC'!L71</f>
        <v>1081.1499999999999</v>
      </c>
      <c r="I17" s="822"/>
      <c r="J17" s="823">
        <f t="shared" si="1"/>
        <v>670363.8099999998</v>
      </c>
    </row>
    <row r="18" spans="1:13" ht="13.5" thickBot="1">
      <c r="A18" s="816" t="s">
        <v>89</v>
      </c>
      <c r="B18" s="824">
        <f aca="true" t="shared" si="2" ref="B18:I18">SUM(B9:B17)</f>
        <v>84404000</v>
      </c>
      <c r="C18" s="474">
        <f t="shared" si="2"/>
        <v>0</v>
      </c>
      <c r="D18" s="825">
        <f t="shared" si="2"/>
        <v>84404000</v>
      </c>
      <c r="E18" s="826">
        <f t="shared" si="2"/>
        <v>150232912.42</v>
      </c>
      <c r="F18" s="475">
        <f>SUM(F9:F17)</f>
        <v>78799894.77999997</v>
      </c>
      <c r="G18" s="475">
        <f t="shared" si="2"/>
        <v>20118421.970000003</v>
      </c>
      <c r="H18" s="475">
        <f t="shared" si="2"/>
        <v>37806474.86</v>
      </c>
      <c r="I18" s="827">
        <f t="shared" si="2"/>
        <v>13508120.810000002</v>
      </c>
      <c r="J18" s="477">
        <f>SUM(J9:J17)</f>
        <v>65828912.419999994</v>
      </c>
      <c r="M18" s="113"/>
    </row>
    <row r="20" spans="5:7" ht="12.75">
      <c r="E20" s="113"/>
      <c r="G20" s="65"/>
    </row>
    <row r="21" ht="12.75">
      <c r="D21" s="113"/>
    </row>
    <row r="27" ht="12.75">
      <c r="G27" s="113"/>
    </row>
  </sheetData>
  <sheetProtection/>
  <mergeCells count="5">
    <mergeCell ref="A6:A7"/>
    <mergeCell ref="J6:J7"/>
    <mergeCell ref="B6:D6"/>
    <mergeCell ref="E6:E7"/>
    <mergeCell ref="F6:I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Normal="112" zoomScalePageLayoutView="0" workbookViewId="0" topLeftCell="A1">
      <selection activeCell="B17" sqref="B17:C17"/>
    </sheetView>
  </sheetViews>
  <sheetFormatPr defaultColWidth="9.140625" defaultRowHeight="12.75"/>
  <cols>
    <col min="1" max="1" width="14.421875" style="0" customWidth="1"/>
    <col min="2" max="2" width="13.28125" style="0" customWidth="1"/>
    <col min="3" max="3" width="15.28125" style="0" customWidth="1"/>
    <col min="4" max="4" width="12.28125" style="0" customWidth="1"/>
    <col min="5" max="5" width="11.7109375" style="0" customWidth="1"/>
    <col min="6" max="6" width="13.28125" style="0" customWidth="1"/>
    <col min="7" max="7" width="13.140625" style="0" customWidth="1"/>
    <col min="8" max="8" width="15.8515625" style="0" customWidth="1"/>
    <col min="9" max="9" width="12.28125" style="0" customWidth="1"/>
    <col min="10" max="10" width="13.7109375" style="0" customWidth="1"/>
    <col min="12" max="12" width="11.7109375" style="0" bestFit="1" customWidth="1"/>
  </cols>
  <sheetData>
    <row r="1" ht="15.75">
      <c r="J1" s="2" t="s">
        <v>404</v>
      </c>
    </row>
    <row r="3" ht="15.75">
      <c r="A3" s="53" t="s">
        <v>585</v>
      </c>
    </row>
    <row r="4" ht="12.75">
      <c r="A4" s="39"/>
    </row>
    <row r="5" ht="13.5" thickBot="1">
      <c r="F5" s="62" t="s">
        <v>317</v>
      </c>
    </row>
    <row r="6" spans="1:10" ht="12.75" customHeight="1">
      <c r="A6" s="1014" t="s">
        <v>82</v>
      </c>
      <c r="B6" s="1023" t="s">
        <v>83</v>
      </c>
      <c r="C6" s="1027"/>
      <c r="D6" s="1022" t="s">
        <v>84</v>
      </c>
      <c r="E6" s="1027"/>
      <c r="F6" s="1022" t="s">
        <v>85</v>
      </c>
      <c r="G6" s="1024"/>
      <c r="H6" s="1016" t="s">
        <v>86</v>
      </c>
      <c r="I6" s="1028" t="s">
        <v>633</v>
      </c>
      <c r="J6" s="1016" t="s">
        <v>634</v>
      </c>
    </row>
    <row r="7" spans="1:10" ht="26.25" thickBot="1">
      <c r="A7" s="1015"/>
      <c r="B7" s="809" t="s">
        <v>83</v>
      </c>
      <c r="C7" s="810" t="s">
        <v>87</v>
      </c>
      <c r="D7" s="810" t="s">
        <v>84</v>
      </c>
      <c r="E7" s="810" t="s">
        <v>87</v>
      </c>
      <c r="F7" s="810" t="s">
        <v>88</v>
      </c>
      <c r="G7" s="811" t="s">
        <v>87</v>
      </c>
      <c r="H7" s="1026"/>
      <c r="I7" s="1029"/>
      <c r="J7" s="1025"/>
    </row>
    <row r="8" spans="1:10" ht="12.75">
      <c r="A8" s="812" t="s">
        <v>330</v>
      </c>
      <c r="B8" s="199">
        <f>'T12-HV-HC'!D81</f>
        <v>97881.81</v>
      </c>
      <c r="C8" s="199">
        <f>'T12-HV-HC'!D52+'T12-HV-HC'!D53</f>
        <v>7573.92</v>
      </c>
      <c r="D8" s="200">
        <f>'T13-HV-JC '!D80</f>
        <v>707531.35</v>
      </c>
      <c r="E8" s="201">
        <f>'T13-HV-JC '!D52</f>
        <v>0</v>
      </c>
      <c r="F8" s="201">
        <f aca="true" t="shared" si="0" ref="F8:F16">D8+B8</f>
        <v>805413.1599999999</v>
      </c>
      <c r="G8" s="416">
        <f aca="true" t="shared" si="1" ref="G8:G16">C8+E8</f>
        <v>7573.92</v>
      </c>
      <c r="H8" s="419">
        <f aca="true" t="shared" si="2" ref="H8:H16">F8-G8</f>
        <v>797839.2399999999</v>
      </c>
      <c r="I8" s="805">
        <v>0</v>
      </c>
      <c r="J8" s="419">
        <f>H8-I8</f>
        <v>797839.2399999999</v>
      </c>
    </row>
    <row r="9" spans="1:10" ht="12.75">
      <c r="A9" s="813" t="s">
        <v>201</v>
      </c>
      <c r="B9" s="99">
        <f>'T12-HV-HC'!E81</f>
        <v>3008214.65</v>
      </c>
      <c r="C9" s="99">
        <f>'T12-HV-HC'!E52+'T12-HV-HC'!E53</f>
        <v>0</v>
      </c>
      <c r="D9" s="100">
        <f>'T13-HV-JC '!E80</f>
        <v>137813.59</v>
      </c>
      <c r="E9" s="101">
        <f>'T13-HV-JC '!E52</f>
        <v>0</v>
      </c>
      <c r="F9" s="101">
        <f t="shared" si="0"/>
        <v>3146028.2399999998</v>
      </c>
      <c r="G9" s="296">
        <f t="shared" si="1"/>
        <v>0</v>
      </c>
      <c r="H9" s="420">
        <f t="shared" si="2"/>
        <v>3146028.2399999998</v>
      </c>
      <c r="I9" s="806">
        <v>2428249.57</v>
      </c>
      <c r="J9" s="420">
        <f aca="true" t="shared" si="3" ref="J9:J16">H9-I9</f>
        <v>717778.6699999999</v>
      </c>
    </row>
    <row r="10" spans="1:10" ht="12.75">
      <c r="A10" s="813" t="s">
        <v>331</v>
      </c>
      <c r="B10" s="103">
        <f>'T12-HV-HC'!F81</f>
        <v>360703.02</v>
      </c>
      <c r="C10" s="101">
        <f>'T12-HV-HC'!F52+'T12-HV-HC'!F53</f>
        <v>0</v>
      </c>
      <c r="D10" s="101"/>
      <c r="E10" s="101"/>
      <c r="F10" s="101">
        <f t="shared" si="0"/>
        <v>360703.02</v>
      </c>
      <c r="G10" s="296">
        <f t="shared" si="1"/>
        <v>0</v>
      </c>
      <c r="H10" s="420">
        <f t="shared" si="2"/>
        <v>360703.02</v>
      </c>
      <c r="I10" s="806">
        <v>63172</v>
      </c>
      <c r="J10" s="420">
        <f t="shared" si="3"/>
        <v>297531.02</v>
      </c>
    </row>
    <row r="11" spans="1:10" s="52" customFormat="1" ht="12.75">
      <c r="A11" s="814" t="s">
        <v>332</v>
      </c>
      <c r="B11" s="99">
        <f>'T12-HV-HC'!G81</f>
        <v>1303124.87</v>
      </c>
      <c r="C11" s="99">
        <f>'T12-HV-HC'!G52+'T12-HV-HC'!G53</f>
        <v>1185700</v>
      </c>
      <c r="D11" s="100">
        <f>'T13-HV-JC '!F80</f>
        <v>32745.13</v>
      </c>
      <c r="E11" s="100">
        <f>'T13-HV-JC '!F52</f>
        <v>0</v>
      </c>
      <c r="F11" s="100">
        <f t="shared" si="0"/>
        <v>1335870</v>
      </c>
      <c r="G11" s="417">
        <f t="shared" si="1"/>
        <v>1185700</v>
      </c>
      <c r="H11" s="421">
        <f t="shared" si="2"/>
        <v>150170</v>
      </c>
      <c r="I11" s="807">
        <v>0</v>
      </c>
      <c r="J11" s="420">
        <f t="shared" si="3"/>
        <v>150170</v>
      </c>
    </row>
    <row r="12" spans="1:10" ht="12.75">
      <c r="A12" s="813" t="s">
        <v>333</v>
      </c>
      <c r="B12" s="103">
        <f>'T12-HV-HC'!H81</f>
        <v>10508.95</v>
      </c>
      <c r="C12" s="101">
        <f>'T12-HV-HC'!H52+'T12-HV-HC'!H53</f>
        <v>0</v>
      </c>
      <c r="D12" s="101"/>
      <c r="E12" s="101"/>
      <c r="F12" s="101">
        <f t="shared" si="0"/>
        <v>10508.95</v>
      </c>
      <c r="G12" s="296">
        <f t="shared" si="1"/>
        <v>0</v>
      </c>
      <c r="H12" s="420">
        <f t="shared" si="2"/>
        <v>10508.95</v>
      </c>
      <c r="I12" s="806">
        <v>0</v>
      </c>
      <c r="J12" s="420">
        <f t="shared" si="3"/>
        <v>10508.95</v>
      </c>
    </row>
    <row r="13" spans="1:10" ht="12.75">
      <c r="A13" s="813" t="s">
        <v>334</v>
      </c>
      <c r="B13" s="103">
        <f>'T12-HV-HC'!I81</f>
        <v>3392538.77</v>
      </c>
      <c r="C13" s="101">
        <f>'T12-HV-HC'!I52+'T12-HV-HC'!I53</f>
        <v>1549490</v>
      </c>
      <c r="D13" s="101">
        <f>'T13-HV-JC '!G80</f>
        <v>446913.82</v>
      </c>
      <c r="E13" s="101">
        <f>'T13-HV-JC '!G52</f>
        <v>84740</v>
      </c>
      <c r="F13" s="101">
        <f t="shared" si="0"/>
        <v>3839452.59</v>
      </c>
      <c r="G13" s="296">
        <f t="shared" si="1"/>
        <v>1634230</v>
      </c>
      <c r="H13" s="420">
        <f t="shared" si="2"/>
        <v>2205222.59</v>
      </c>
      <c r="I13" s="806">
        <v>91750</v>
      </c>
      <c r="J13" s="420">
        <f t="shared" si="3"/>
        <v>2113472.59</v>
      </c>
    </row>
    <row r="14" spans="1:10" ht="12.75">
      <c r="A14" s="813" t="s">
        <v>202</v>
      </c>
      <c r="B14" s="103">
        <f>'T12-HV-HC'!J81</f>
        <v>5695052.36</v>
      </c>
      <c r="C14" s="101">
        <f>'T12-HV-HC'!J52+'T12-HV-HC'!J53</f>
        <v>0</v>
      </c>
      <c r="D14" s="101">
        <f>'T13-HV-JC '!H80</f>
        <v>283490.22</v>
      </c>
      <c r="E14" s="101">
        <f>'T13-HV-JC '!H52</f>
        <v>0</v>
      </c>
      <c r="F14" s="101">
        <f t="shared" si="0"/>
        <v>5978542.58</v>
      </c>
      <c r="G14" s="296">
        <f t="shared" si="1"/>
        <v>0</v>
      </c>
      <c r="H14" s="420">
        <f t="shared" si="2"/>
        <v>5978542.58</v>
      </c>
      <c r="I14" s="806">
        <f>59394.3+44653.06</f>
        <v>104047.36</v>
      </c>
      <c r="J14" s="420">
        <f t="shared" si="3"/>
        <v>5874495.22</v>
      </c>
    </row>
    <row r="15" spans="1:10" ht="12.75">
      <c r="A15" s="813" t="s">
        <v>3</v>
      </c>
      <c r="B15" s="103">
        <f>'T12-HV-HC'!K81</f>
        <v>177763.64</v>
      </c>
      <c r="C15" s="103">
        <f>'T12-HV-HC'!K52+'T12-HV-HC'!K53</f>
        <v>57000</v>
      </c>
      <c r="D15" s="101"/>
      <c r="E15" s="101"/>
      <c r="F15" s="101">
        <f t="shared" si="0"/>
        <v>177763.64</v>
      </c>
      <c r="G15" s="296">
        <f t="shared" si="1"/>
        <v>57000</v>
      </c>
      <c r="H15" s="420">
        <f t="shared" si="2"/>
        <v>120763.64000000001</v>
      </c>
      <c r="I15" s="806">
        <v>0</v>
      </c>
      <c r="J15" s="420">
        <f t="shared" si="3"/>
        <v>120763.64000000001</v>
      </c>
    </row>
    <row r="16" spans="1:10" ht="13.5" thickBot="1">
      <c r="A16" s="815" t="s">
        <v>443</v>
      </c>
      <c r="B16" s="197">
        <f>'T12-HV-HC'!L81</f>
        <v>109070.96</v>
      </c>
      <c r="C16" s="198">
        <f>'T12-HV-HC'!L52+'T12-HV-HC'!L53</f>
        <v>0</v>
      </c>
      <c r="D16" s="198"/>
      <c r="E16" s="198"/>
      <c r="F16" s="198">
        <f t="shared" si="0"/>
        <v>109070.96</v>
      </c>
      <c r="G16" s="418">
        <f t="shared" si="1"/>
        <v>0</v>
      </c>
      <c r="H16" s="422">
        <f t="shared" si="2"/>
        <v>109070.96</v>
      </c>
      <c r="I16" s="808">
        <v>0</v>
      </c>
      <c r="J16" s="321">
        <f t="shared" si="3"/>
        <v>109070.96</v>
      </c>
    </row>
    <row r="17" spans="1:10" ht="13.5" thickBot="1">
      <c r="A17" s="816" t="s">
        <v>89</v>
      </c>
      <c r="B17" s="474">
        <f aca="true" t="shared" si="4" ref="B17:G17">SUM(B8:B16)</f>
        <v>14154859.030000001</v>
      </c>
      <c r="C17" s="475">
        <f t="shared" si="4"/>
        <v>2799763.92</v>
      </c>
      <c r="D17" s="475">
        <f t="shared" si="4"/>
        <v>1608494.1099999999</v>
      </c>
      <c r="E17" s="475">
        <f t="shared" si="4"/>
        <v>84740</v>
      </c>
      <c r="F17" s="475">
        <f t="shared" si="4"/>
        <v>15763353.140000002</v>
      </c>
      <c r="G17" s="476">
        <f t="shared" si="4"/>
        <v>2884503.92</v>
      </c>
      <c r="H17" s="477">
        <f>SUM(H8:H16)</f>
        <v>12878849.220000003</v>
      </c>
      <c r="I17" s="477">
        <f>SUM(I8:I16)</f>
        <v>2687218.9299999997</v>
      </c>
      <c r="J17" s="477">
        <f>SUM(J8:J16)</f>
        <v>10191630.290000001</v>
      </c>
    </row>
    <row r="21" spans="3:4" ht="12.75">
      <c r="C21" s="113"/>
      <c r="D21" s="113"/>
    </row>
    <row r="26" ht="12.75">
      <c r="C26" s="113"/>
    </row>
  </sheetData>
  <sheetProtection/>
  <mergeCells count="7">
    <mergeCell ref="J6:J7"/>
    <mergeCell ref="H6:H7"/>
    <mergeCell ref="A6:A7"/>
    <mergeCell ref="B6:C6"/>
    <mergeCell ref="D6:E6"/>
    <mergeCell ref="F6:G6"/>
    <mergeCell ref="I6:I7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I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view="pageBreakPreview" zoomScale="60" zoomScaleNormal="80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6" sqref="R56"/>
    </sheetView>
  </sheetViews>
  <sheetFormatPr defaultColWidth="9.140625" defaultRowHeight="12.75"/>
  <cols>
    <col min="1" max="1" width="6.7109375" style="35" customWidth="1"/>
    <col min="2" max="2" width="43.140625" style="35" customWidth="1"/>
    <col min="3" max="3" width="5.421875" style="35" bestFit="1" customWidth="1"/>
    <col min="4" max="4" width="17.00390625" style="35" customWidth="1"/>
    <col min="5" max="5" width="14.8515625" style="35" customWidth="1"/>
    <col min="6" max="6" width="13.57421875" style="35" customWidth="1"/>
    <col min="7" max="7" width="14.8515625" style="35" customWidth="1"/>
    <col min="8" max="8" width="13.57421875" style="35" bestFit="1" customWidth="1"/>
    <col min="9" max="9" width="14.8515625" style="160" customWidth="1"/>
    <col min="10" max="10" width="14.28125" style="35" customWidth="1"/>
    <col min="11" max="11" width="12.421875" style="35" customWidth="1"/>
    <col min="12" max="12" width="13.57421875" style="35" customWidth="1"/>
    <col min="13" max="13" width="15.8515625" style="35" customWidth="1"/>
    <col min="14" max="14" width="9.140625" style="35" customWidth="1"/>
    <col min="15" max="15" width="16.421875" style="35" bestFit="1" customWidth="1"/>
    <col min="16" max="16384" width="9.140625" style="35" customWidth="1"/>
  </cols>
  <sheetData>
    <row r="1" spans="5:13" ht="15.75">
      <c r="E1"/>
      <c r="M1" s="42" t="s">
        <v>405</v>
      </c>
    </row>
    <row r="2" spans="1:8" ht="15.75">
      <c r="A2" s="36" t="s">
        <v>586</v>
      </c>
      <c r="B2" s="31"/>
      <c r="C2" s="31"/>
      <c r="D2" s="33"/>
      <c r="E2"/>
      <c r="F2" s="33"/>
      <c r="G2" s="33"/>
      <c r="H2" s="37"/>
    </row>
    <row r="3" spans="1:13" ht="13.5" thickBot="1">
      <c r="A3" s="95"/>
      <c r="I3" s="52"/>
      <c r="M3" s="62" t="s">
        <v>317</v>
      </c>
    </row>
    <row r="4" spans="1:13" ht="13.5" thickBot="1">
      <c r="A4" s="1030" t="s">
        <v>218</v>
      </c>
      <c r="B4" s="1031"/>
      <c r="C4" s="215" t="s">
        <v>17</v>
      </c>
      <c r="D4" s="216" t="s">
        <v>18</v>
      </c>
      <c r="E4" s="216" t="s">
        <v>194</v>
      </c>
      <c r="F4" s="216" t="s">
        <v>195</v>
      </c>
      <c r="G4" s="216" t="s">
        <v>119</v>
      </c>
      <c r="H4" s="216" t="s">
        <v>79</v>
      </c>
      <c r="I4" s="216" t="s">
        <v>196</v>
      </c>
      <c r="J4" s="216" t="s">
        <v>120</v>
      </c>
      <c r="K4" s="216" t="s">
        <v>122</v>
      </c>
      <c r="L4" s="216" t="s">
        <v>80</v>
      </c>
      <c r="M4" s="217" t="s">
        <v>81</v>
      </c>
    </row>
    <row r="5" spans="1:15" ht="12.75">
      <c r="A5" s="212" t="s">
        <v>219</v>
      </c>
      <c r="B5" s="213" t="s">
        <v>197</v>
      </c>
      <c r="C5" s="214" t="s">
        <v>176</v>
      </c>
      <c r="D5" s="306">
        <f>D6+D42+D48+D51</f>
        <v>1260518023.85</v>
      </c>
      <c r="E5" s="306">
        <f aca="true" t="shared" si="0" ref="E5:M5">E6+E42+E48+E51</f>
        <v>221256978.31</v>
      </c>
      <c r="F5" s="576">
        <f t="shared" si="0"/>
        <v>39367242.120000005</v>
      </c>
      <c r="G5" s="577">
        <f t="shared" si="0"/>
        <v>305160243.84000003</v>
      </c>
      <c r="H5" s="306">
        <f t="shared" si="0"/>
        <v>22135099.189999998</v>
      </c>
      <c r="I5" s="306">
        <f t="shared" si="0"/>
        <v>152089686.24999997</v>
      </c>
      <c r="J5" s="306">
        <f t="shared" si="0"/>
        <v>192544320.19999996</v>
      </c>
      <c r="K5" s="306">
        <f t="shared" si="0"/>
        <v>6629063.930000001</v>
      </c>
      <c r="L5" s="306">
        <f t="shared" si="0"/>
        <v>15200659.850000001</v>
      </c>
      <c r="M5" s="218">
        <f t="shared" si="0"/>
        <v>2214901317.54</v>
      </c>
      <c r="O5" s="113"/>
    </row>
    <row r="6" spans="1:13" ht="12.75">
      <c r="A6" s="203" t="s">
        <v>220</v>
      </c>
      <c r="B6" s="97" t="s">
        <v>123</v>
      </c>
      <c r="C6" s="138" t="s">
        <v>176</v>
      </c>
      <c r="D6" s="307">
        <f aca="true" t="shared" si="1" ref="D6:M6">SUM(D7:D41)</f>
        <v>201406881.98</v>
      </c>
      <c r="E6" s="307">
        <f t="shared" si="1"/>
        <v>221130125.75</v>
      </c>
      <c r="F6" s="307">
        <f t="shared" si="1"/>
        <v>39361464.980000004</v>
      </c>
      <c r="G6" s="578">
        <f t="shared" si="1"/>
        <v>303927695.46000004</v>
      </c>
      <c r="H6" s="307">
        <f t="shared" si="1"/>
        <v>20603880.77</v>
      </c>
      <c r="I6" s="579">
        <f t="shared" si="1"/>
        <v>150506862.29999998</v>
      </c>
      <c r="J6" s="307">
        <f t="shared" si="1"/>
        <v>191381730.77999997</v>
      </c>
      <c r="K6" s="307">
        <f t="shared" si="1"/>
        <v>6557634.73</v>
      </c>
      <c r="L6" s="307">
        <f t="shared" si="1"/>
        <v>15078336.790000001</v>
      </c>
      <c r="M6" s="204">
        <f t="shared" si="1"/>
        <v>1149954613.54</v>
      </c>
    </row>
    <row r="7" spans="1:15" ht="12.75">
      <c r="A7" s="205" t="s">
        <v>221</v>
      </c>
      <c r="B7" s="98" t="s">
        <v>20</v>
      </c>
      <c r="C7" s="139" t="s">
        <v>19</v>
      </c>
      <c r="D7" s="305">
        <v>13808519.3</v>
      </c>
      <c r="E7" s="305">
        <v>2329076.95</v>
      </c>
      <c r="F7" s="305">
        <v>2712859.66</v>
      </c>
      <c r="G7" s="580">
        <v>11462298.56</v>
      </c>
      <c r="H7" s="305">
        <v>103230.74</v>
      </c>
      <c r="I7" s="305">
        <v>4149379.03</v>
      </c>
      <c r="J7" s="305">
        <v>6335637.27</v>
      </c>
      <c r="K7" s="305">
        <v>264825.2</v>
      </c>
      <c r="L7" s="305">
        <v>1603770.55</v>
      </c>
      <c r="M7" s="206">
        <f>SUM(D7:L7)</f>
        <v>42769597.25999999</v>
      </c>
      <c r="O7" s="113"/>
    </row>
    <row r="8" spans="1:13" ht="12.75">
      <c r="A8" s="205" t="s">
        <v>222</v>
      </c>
      <c r="B8" s="98" t="s">
        <v>22</v>
      </c>
      <c r="C8" s="139" t="s">
        <v>21</v>
      </c>
      <c r="D8" s="305">
        <v>1573931.97</v>
      </c>
      <c r="E8" s="305">
        <v>2739967.17</v>
      </c>
      <c r="F8" s="305">
        <v>2468606</v>
      </c>
      <c r="G8" s="580">
        <v>6889183.64</v>
      </c>
      <c r="H8" s="305">
        <v>41670.16</v>
      </c>
      <c r="I8" s="305">
        <v>6748517.19</v>
      </c>
      <c r="J8" s="305">
        <v>3426355.34</v>
      </c>
      <c r="K8" s="305">
        <v>219006.8</v>
      </c>
      <c r="L8" s="305">
        <v>62723</v>
      </c>
      <c r="M8" s="206">
        <f aca="true" t="shared" si="2" ref="M8:M41">SUM(D8:L8)</f>
        <v>24169961.27</v>
      </c>
    </row>
    <row r="9" spans="1:13" ht="12.75">
      <c r="A9" s="205" t="s">
        <v>223</v>
      </c>
      <c r="B9" s="98" t="s">
        <v>124</v>
      </c>
      <c r="C9" s="139" t="s">
        <v>23</v>
      </c>
      <c r="D9" s="305">
        <v>45819</v>
      </c>
      <c r="E9" s="305"/>
      <c r="F9" s="305"/>
      <c r="G9" s="580"/>
      <c r="H9" s="305"/>
      <c r="I9" s="305"/>
      <c r="J9" s="305"/>
      <c r="K9" s="305"/>
      <c r="L9" s="305">
        <v>2754</v>
      </c>
      <c r="M9" s="206">
        <f t="shared" si="2"/>
        <v>48573</v>
      </c>
    </row>
    <row r="10" spans="1:13" ht="12.75">
      <c r="A10" s="205" t="s">
        <v>224</v>
      </c>
      <c r="B10" s="98" t="s">
        <v>25</v>
      </c>
      <c r="C10" s="139" t="s">
        <v>24</v>
      </c>
      <c r="D10" s="305"/>
      <c r="E10" s="305"/>
      <c r="F10" s="305"/>
      <c r="G10" s="580"/>
      <c r="H10" s="305"/>
      <c r="I10" s="305"/>
      <c r="J10" s="305"/>
      <c r="K10" s="305"/>
      <c r="L10" s="305"/>
      <c r="M10" s="206">
        <f t="shared" si="2"/>
        <v>0</v>
      </c>
    </row>
    <row r="11" spans="1:13" ht="12.75">
      <c r="A11" s="205" t="s">
        <v>225</v>
      </c>
      <c r="B11" s="98" t="s">
        <v>226</v>
      </c>
      <c r="C11" s="139" t="s">
        <v>227</v>
      </c>
      <c r="D11" s="305"/>
      <c r="E11" s="305"/>
      <c r="F11" s="305"/>
      <c r="G11" s="580"/>
      <c r="H11" s="305"/>
      <c r="I11" s="305"/>
      <c r="J11" s="305"/>
      <c r="K11" s="305"/>
      <c r="L11" s="305"/>
      <c r="M11" s="206">
        <f t="shared" si="2"/>
        <v>0</v>
      </c>
    </row>
    <row r="12" spans="1:13" ht="12.75">
      <c r="A12" s="205" t="s">
        <v>228</v>
      </c>
      <c r="B12" s="98" t="s">
        <v>229</v>
      </c>
      <c r="C12" s="139" t="s">
        <v>230</v>
      </c>
      <c r="D12" s="305"/>
      <c r="E12" s="305"/>
      <c r="F12" s="305"/>
      <c r="G12" s="580"/>
      <c r="H12" s="305"/>
      <c r="I12" s="305"/>
      <c r="J12" s="305"/>
      <c r="K12" s="305"/>
      <c r="L12" s="305"/>
      <c r="M12" s="206">
        <f t="shared" si="2"/>
        <v>0</v>
      </c>
    </row>
    <row r="13" spans="1:13" ht="12.75">
      <c r="A13" s="205" t="s">
        <v>231</v>
      </c>
      <c r="B13" s="98" t="s">
        <v>232</v>
      </c>
      <c r="C13" s="139" t="s">
        <v>233</v>
      </c>
      <c r="D13" s="305"/>
      <c r="E13" s="305"/>
      <c r="F13" s="305"/>
      <c r="G13" s="580"/>
      <c r="H13" s="305"/>
      <c r="I13" s="305"/>
      <c r="J13" s="305"/>
      <c r="K13" s="305"/>
      <c r="L13" s="305"/>
      <c r="M13" s="206">
        <f t="shared" si="2"/>
        <v>0</v>
      </c>
    </row>
    <row r="14" spans="1:13" ht="12.75">
      <c r="A14" s="205" t="s">
        <v>234</v>
      </c>
      <c r="B14" s="98" t="s">
        <v>27</v>
      </c>
      <c r="C14" s="139" t="s">
        <v>26</v>
      </c>
      <c r="D14" s="305">
        <v>2010558.52</v>
      </c>
      <c r="E14" s="305">
        <v>1206338.84</v>
      </c>
      <c r="F14" s="305">
        <v>212431.79</v>
      </c>
      <c r="G14" s="580">
        <v>7054024.34</v>
      </c>
      <c r="H14" s="305">
        <v>7000</v>
      </c>
      <c r="I14" s="305">
        <v>4961054.62</v>
      </c>
      <c r="J14" s="305">
        <v>938822.32</v>
      </c>
      <c r="K14" s="305">
        <v>103734</v>
      </c>
      <c r="L14" s="305">
        <v>25569.77</v>
      </c>
      <c r="M14" s="206">
        <f t="shared" si="2"/>
        <v>16519534.2</v>
      </c>
    </row>
    <row r="15" spans="1:13" ht="12.75">
      <c r="A15" s="205" t="s">
        <v>235</v>
      </c>
      <c r="B15" s="98" t="s">
        <v>29</v>
      </c>
      <c r="C15" s="139" t="s">
        <v>28</v>
      </c>
      <c r="D15" s="305">
        <v>5143909.66</v>
      </c>
      <c r="E15" s="305">
        <v>2484282.9</v>
      </c>
      <c r="F15" s="305">
        <v>329320.35</v>
      </c>
      <c r="G15" s="580">
        <v>648299.37</v>
      </c>
      <c r="H15" s="305">
        <v>2261504.34</v>
      </c>
      <c r="I15" s="305">
        <v>1303804.14</v>
      </c>
      <c r="J15" s="305">
        <v>671719</v>
      </c>
      <c r="K15" s="305">
        <v>75390.58</v>
      </c>
      <c r="L15" s="305">
        <v>670564.71</v>
      </c>
      <c r="M15" s="206">
        <f t="shared" si="2"/>
        <v>13588795.05</v>
      </c>
    </row>
    <row r="16" spans="1:13" ht="15.75" customHeight="1">
      <c r="A16" s="205" t="s">
        <v>236</v>
      </c>
      <c r="B16" s="98" t="s">
        <v>31</v>
      </c>
      <c r="C16" s="139" t="s">
        <v>30</v>
      </c>
      <c r="D16" s="305"/>
      <c r="E16" s="305">
        <v>401302.4</v>
      </c>
      <c r="F16" s="305">
        <v>248721.31</v>
      </c>
      <c r="G16" s="580">
        <v>332992.4</v>
      </c>
      <c r="H16" s="305"/>
      <c r="I16" s="305">
        <v>12211</v>
      </c>
      <c r="J16" s="305">
        <v>82995.8</v>
      </c>
      <c r="K16" s="305">
        <v>17944</v>
      </c>
      <c r="L16" s="305">
        <v>10161</v>
      </c>
      <c r="M16" s="206">
        <f t="shared" si="2"/>
        <v>1106327.91</v>
      </c>
    </row>
    <row r="17" spans="1:13" ht="15.75" customHeight="1">
      <c r="A17" s="205" t="s">
        <v>237</v>
      </c>
      <c r="B17" s="98" t="s">
        <v>67</v>
      </c>
      <c r="C17" s="139" t="s">
        <v>238</v>
      </c>
      <c r="D17" s="305"/>
      <c r="E17" s="305"/>
      <c r="F17" s="305"/>
      <c r="G17" s="580"/>
      <c r="H17" s="305"/>
      <c r="I17" s="305"/>
      <c r="J17" s="305"/>
      <c r="K17" s="305"/>
      <c r="L17" s="305"/>
      <c r="M17" s="206">
        <f t="shared" si="2"/>
        <v>0</v>
      </c>
    </row>
    <row r="18" spans="1:13" ht="15.75" customHeight="1">
      <c r="A18" s="205" t="s">
        <v>239</v>
      </c>
      <c r="B18" s="98" t="s">
        <v>33</v>
      </c>
      <c r="C18" s="139" t="s">
        <v>32</v>
      </c>
      <c r="D18" s="305">
        <v>44029383.16</v>
      </c>
      <c r="E18" s="305">
        <v>24345682.8</v>
      </c>
      <c r="F18" s="305">
        <v>3691853.97</v>
      </c>
      <c r="G18" s="580">
        <v>183200138.96</v>
      </c>
      <c r="H18" s="305">
        <v>665309.22</v>
      </c>
      <c r="I18" s="305">
        <v>26269301.74</v>
      </c>
      <c r="J18" s="305">
        <v>92707806.47</v>
      </c>
      <c r="K18" s="305">
        <v>1531162.56</v>
      </c>
      <c r="L18" s="305">
        <v>7362194.36</v>
      </c>
      <c r="M18" s="206">
        <f t="shared" si="2"/>
        <v>383802833.23999995</v>
      </c>
    </row>
    <row r="19" spans="1:13" ht="15.75" customHeight="1">
      <c r="A19" s="205" t="s">
        <v>240</v>
      </c>
      <c r="B19" s="98" t="s">
        <v>35</v>
      </c>
      <c r="C19" s="139" t="s">
        <v>34</v>
      </c>
      <c r="D19" s="305">
        <v>74171568</v>
      </c>
      <c r="E19" s="305">
        <v>125051217</v>
      </c>
      <c r="F19" s="305">
        <v>18250371</v>
      </c>
      <c r="G19" s="580">
        <v>41171347</v>
      </c>
      <c r="H19" s="305"/>
      <c r="I19" s="305">
        <v>73671338</v>
      </c>
      <c r="J19" s="305">
        <v>54553630</v>
      </c>
      <c r="K19" s="305">
        <v>3010432</v>
      </c>
      <c r="L19" s="305">
        <v>3625884</v>
      </c>
      <c r="M19" s="206">
        <f t="shared" si="2"/>
        <v>393505787</v>
      </c>
    </row>
    <row r="20" spans="1:13" ht="15.75" customHeight="1">
      <c r="A20" s="205" t="s">
        <v>241</v>
      </c>
      <c r="B20" s="98" t="s">
        <v>37</v>
      </c>
      <c r="C20" s="139" t="s">
        <v>36</v>
      </c>
      <c r="D20" s="305">
        <v>23199757.48</v>
      </c>
      <c r="E20" s="305">
        <v>33917185</v>
      </c>
      <c r="F20" s="305">
        <v>5839377</v>
      </c>
      <c r="G20" s="580">
        <v>13724817.52</v>
      </c>
      <c r="H20" s="305"/>
      <c r="I20" s="305">
        <v>19081818</v>
      </c>
      <c r="J20" s="305">
        <v>12284794</v>
      </c>
      <c r="K20" s="305">
        <v>867467</v>
      </c>
      <c r="L20" s="305">
        <v>965062</v>
      </c>
      <c r="M20" s="206">
        <f t="shared" si="2"/>
        <v>109880278</v>
      </c>
    </row>
    <row r="21" spans="1:13" ht="15.75" customHeight="1">
      <c r="A21" s="205" t="s">
        <v>242</v>
      </c>
      <c r="B21" s="98" t="s">
        <v>125</v>
      </c>
      <c r="C21" s="139" t="s">
        <v>38</v>
      </c>
      <c r="D21" s="305">
        <v>289996</v>
      </c>
      <c r="E21" s="305">
        <v>418961</v>
      </c>
      <c r="F21" s="305">
        <v>72956</v>
      </c>
      <c r="G21" s="580">
        <v>113071</v>
      </c>
      <c r="H21" s="305"/>
      <c r="I21" s="305">
        <v>234758</v>
      </c>
      <c r="J21" s="305">
        <v>131939</v>
      </c>
      <c r="K21" s="305">
        <v>10372</v>
      </c>
      <c r="L21" s="305">
        <v>11647</v>
      </c>
      <c r="M21" s="206">
        <f t="shared" si="2"/>
        <v>1283700</v>
      </c>
    </row>
    <row r="22" spans="1:13" ht="15.75" customHeight="1">
      <c r="A22" s="205" t="s">
        <v>243</v>
      </c>
      <c r="B22" s="98" t="s">
        <v>40</v>
      </c>
      <c r="C22" s="139" t="s">
        <v>39</v>
      </c>
      <c r="D22" s="305">
        <v>3196740.51</v>
      </c>
      <c r="E22" s="305">
        <v>3937500.36</v>
      </c>
      <c r="F22" s="305">
        <v>241872</v>
      </c>
      <c r="G22" s="580">
        <v>2103427.07</v>
      </c>
      <c r="H22" s="305"/>
      <c r="I22" s="305">
        <v>1365015.04</v>
      </c>
      <c r="J22" s="305">
        <v>1153896</v>
      </c>
      <c r="K22" s="305">
        <v>62851.59</v>
      </c>
      <c r="L22" s="305">
        <v>106804</v>
      </c>
      <c r="M22" s="206">
        <f t="shared" si="2"/>
        <v>12168106.57</v>
      </c>
    </row>
    <row r="23" spans="1:13" ht="15.75" customHeight="1">
      <c r="A23" s="205" t="s">
        <v>244</v>
      </c>
      <c r="B23" s="98" t="s">
        <v>126</v>
      </c>
      <c r="C23" s="139" t="s">
        <v>41</v>
      </c>
      <c r="D23" s="305"/>
      <c r="E23" s="305"/>
      <c r="F23" s="305">
        <v>493894</v>
      </c>
      <c r="G23" s="580"/>
      <c r="H23" s="305"/>
      <c r="I23" s="305">
        <v>218881</v>
      </c>
      <c r="J23" s="305"/>
      <c r="K23" s="305"/>
      <c r="L23" s="305"/>
      <c r="M23" s="206">
        <f t="shared" si="2"/>
        <v>712775</v>
      </c>
    </row>
    <row r="24" spans="1:13" ht="15.75" customHeight="1">
      <c r="A24" s="205" t="s">
        <v>245</v>
      </c>
      <c r="B24" s="98" t="s">
        <v>43</v>
      </c>
      <c r="C24" s="139" t="s">
        <v>42</v>
      </c>
      <c r="D24" s="305"/>
      <c r="E24" s="305"/>
      <c r="F24" s="305"/>
      <c r="G24" s="580"/>
      <c r="H24" s="305"/>
      <c r="I24" s="305"/>
      <c r="J24" s="305"/>
      <c r="K24" s="305"/>
      <c r="L24" s="305"/>
      <c r="M24" s="206">
        <f t="shared" si="2"/>
        <v>0</v>
      </c>
    </row>
    <row r="25" spans="1:13" ht="15.75" customHeight="1">
      <c r="A25" s="205" t="s">
        <v>246</v>
      </c>
      <c r="B25" s="98" t="s">
        <v>45</v>
      </c>
      <c r="C25" s="139" t="s">
        <v>44</v>
      </c>
      <c r="D25" s="305"/>
      <c r="E25" s="305">
        <v>2590</v>
      </c>
      <c r="F25" s="305"/>
      <c r="G25" s="580">
        <v>1991</v>
      </c>
      <c r="H25" s="305"/>
      <c r="I25" s="305">
        <v>68930.37</v>
      </c>
      <c r="J25" s="305"/>
      <c r="K25" s="305"/>
      <c r="L25" s="305"/>
      <c r="M25" s="206">
        <f t="shared" si="2"/>
        <v>73511.37</v>
      </c>
    </row>
    <row r="26" spans="1:13" ht="15.75" customHeight="1">
      <c r="A26" s="205" t="s">
        <v>247</v>
      </c>
      <c r="B26" s="98" t="s">
        <v>127</v>
      </c>
      <c r="C26" s="139" t="s">
        <v>46</v>
      </c>
      <c r="D26" s="305">
        <v>28459</v>
      </c>
      <c r="E26" s="305">
        <v>70406.47</v>
      </c>
      <c r="F26" s="305">
        <v>5310</v>
      </c>
      <c r="G26" s="580">
        <v>231211.64</v>
      </c>
      <c r="H26" s="305"/>
      <c r="I26" s="305">
        <v>250140</v>
      </c>
      <c r="J26" s="305">
        <v>10680.17</v>
      </c>
      <c r="K26" s="305">
        <v>1500</v>
      </c>
      <c r="L26" s="305">
        <v>307599.55</v>
      </c>
      <c r="M26" s="206">
        <f t="shared" si="2"/>
        <v>905306.8300000001</v>
      </c>
    </row>
    <row r="27" spans="1:13" ht="15.75" customHeight="1">
      <c r="A27" s="205" t="s">
        <v>248</v>
      </c>
      <c r="B27" s="98" t="s">
        <v>48</v>
      </c>
      <c r="C27" s="139" t="s">
        <v>47</v>
      </c>
      <c r="D27" s="305"/>
      <c r="E27" s="305"/>
      <c r="F27" s="305"/>
      <c r="G27" s="580"/>
      <c r="H27" s="305"/>
      <c r="I27" s="305"/>
      <c r="J27" s="305"/>
      <c r="K27" s="305">
        <v>200</v>
      </c>
      <c r="L27" s="305"/>
      <c r="M27" s="206">
        <f t="shared" si="2"/>
        <v>200</v>
      </c>
    </row>
    <row r="28" spans="1:13" ht="15.75" customHeight="1">
      <c r="A28" s="205" t="s">
        <v>249</v>
      </c>
      <c r="B28" s="98" t="s">
        <v>128</v>
      </c>
      <c r="C28" s="139" t="s">
        <v>49</v>
      </c>
      <c r="D28" s="305">
        <v>301916.75</v>
      </c>
      <c r="E28" s="305">
        <v>16826251</v>
      </c>
      <c r="F28" s="305">
        <v>574.45</v>
      </c>
      <c r="G28" s="580">
        <v>9772</v>
      </c>
      <c r="H28" s="305"/>
      <c r="I28" s="305">
        <v>302491</v>
      </c>
      <c r="J28" s="305">
        <v>500000</v>
      </c>
      <c r="K28" s="305"/>
      <c r="L28" s="305">
        <v>1000</v>
      </c>
      <c r="M28" s="206">
        <f t="shared" si="2"/>
        <v>17942005.2</v>
      </c>
    </row>
    <row r="29" spans="1:13" ht="15.75" customHeight="1">
      <c r="A29" s="205" t="s">
        <v>250</v>
      </c>
      <c r="B29" s="98" t="s">
        <v>54</v>
      </c>
      <c r="C29" s="139" t="s">
        <v>50</v>
      </c>
      <c r="D29" s="305"/>
      <c r="E29" s="305"/>
      <c r="F29" s="305"/>
      <c r="G29" s="580"/>
      <c r="H29" s="305"/>
      <c r="I29" s="305"/>
      <c r="J29" s="305"/>
      <c r="K29" s="305"/>
      <c r="L29" s="305"/>
      <c r="M29" s="206">
        <f t="shared" si="2"/>
        <v>0</v>
      </c>
    </row>
    <row r="30" spans="1:13" ht="15.75" customHeight="1">
      <c r="A30" s="205" t="s">
        <v>251</v>
      </c>
      <c r="B30" s="98" t="s">
        <v>62</v>
      </c>
      <c r="C30" s="139" t="s">
        <v>51</v>
      </c>
      <c r="D30" s="305"/>
      <c r="E30" s="305"/>
      <c r="F30" s="305"/>
      <c r="G30" s="580"/>
      <c r="H30" s="305"/>
      <c r="I30" s="305"/>
      <c r="J30" s="305"/>
      <c r="K30" s="305"/>
      <c r="L30" s="305"/>
      <c r="M30" s="206">
        <f t="shared" si="2"/>
        <v>0</v>
      </c>
    </row>
    <row r="31" spans="1:13" ht="15.75" customHeight="1">
      <c r="A31" s="205" t="s">
        <v>252</v>
      </c>
      <c r="B31" s="98" t="s">
        <v>56</v>
      </c>
      <c r="C31" s="139" t="s">
        <v>129</v>
      </c>
      <c r="D31" s="305">
        <v>6875</v>
      </c>
      <c r="E31" s="305">
        <v>82196.48</v>
      </c>
      <c r="F31" s="305"/>
      <c r="G31" s="580"/>
      <c r="H31" s="305"/>
      <c r="I31" s="305"/>
      <c r="J31" s="305"/>
      <c r="K31" s="305"/>
      <c r="L31" s="305"/>
      <c r="M31" s="206">
        <f t="shared" si="2"/>
        <v>89071.48</v>
      </c>
    </row>
    <row r="32" spans="1:13" ht="15.75" customHeight="1">
      <c r="A32" s="205" t="s">
        <v>253</v>
      </c>
      <c r="B32" s="98" t="s">
        <v>130</v>
      </c>
      <c r="C32" s="139" t="s">
        <v>55</v>
      </c>
      <c r="D32" s="305"/>
      <c r="E32" s="305"/>
      <c r="F32" s="305"/>
      <c r="G32" s="580"/>
      <c r="H32" s="305"/>
      <c r="I32" s="305"/>
      <c r="J32" s="305">
        <v>100200</v>
      </c>
      <c r="K32" s="305"/>
      <c r="L32" s="305"/>
      <c r="M32" s="206">
        <f t="shared" si="2"/>
        <v>100200</v>
      </c>
    </row>
    <row r="33" spans="1:13" ht="15.75" customHeight="1">
      <c r="A33" s="205" t="s">
        <v>254</v>
      </c>
      <c r="B33" s="98" t="s">
        <v>131</v>
      </c>
      <c r="C33" s="139" t="s">
        <v>58</v>
      </c>
      <c r="D33" s="305">
        <v>4667094.89</v>
      </c>
      <c r="E33" s="305">
        <v>3223900.9</v>
      </c>
      <c r="F33" s="305">
        <v>2765021.21</v>
      </c>
      <c r="G33" s="580">
        <v>34962850.04</v>
      </c>
      <c r="H33" s="305"/>
      <c r="I33" s="305">
        <v>7175051.89</v>
      </c>
      <c r="J33" s="305">
        <v>16478115.85</v>
      </c>
      <c r="K33" s="305">
        <v>238698</v>
      </c>
      <c r="L33" s="305">
        <v>107904</v>
      </c>
      <c r="M33" s="206">
        <f t="shared" si="2"/>
        <v>69618636.78</v>
      </c>
    </row>
    <row r="34" spans="1:13" ht="15.75" customHeight="1">
      <c r="A34" s="205" t="s">
        <v>255</v>
      </c>
      <c r="B34" s="98" t="s">
        <v>256</v>
      </c>
      <c r="C34" s="139" t="s">
        <v>59</v>
      </c>
      <c r="D34" s="305"/>
      <c r="E34" s="305"/>
      <c r="F34" s="305"/>
      <c r="G34" s="580"/>
      <c r="H34" s="305"/>
      <c r="I34" s="305"/>
      <c r="J34" s="305"/>
      <c r="K34" s="305"/>
      <c r="L34" s="305"/>
      <c r="M34" s="206">
        <f t="shared" si="2"/>
        <v>0</v>
      </c>
    </row>
    <row r="35" spans="1:13" ht="15.75" customHeight="1">
      <c r="A35" s="205" t="s">
        <v>257</v>
      </c>
      <c r="B35" s="98" t="s">
        <v>258</v>
      </c>
      <c r="C35" s="139" t="s">
        <v>60</v>
      </c>
      <c r="D35" s="305"/>
      <c r="E35" s="305"/>
      <c r="F35" s="305"/>
      <c r="G35" s="580"/>
      <c r="H35" s="305"/>
      <c r="I35" s="305"/>
      <c r="J35" s="305">
        <v>151000</v>
      </c>
      <c r="K35" s="305"/>
      <c r="L35" s="305"/>
      <c r="M35" s="206">
        <f t="shared" si="2"/>
        <v>151000</v>
      </c>
    </row>
    <row r="36" spans="1:13" ht="15.75" customHeight="1">
      <c r="A36" s="205" t="s">
        <v>259</v>
      </c>
      <c r="B36" s="98" t="s">
        <v>132</v>
      </c>
      <c r="C36" s="139" t="s">
        <v>61</v>
      </c>
      <c r="D36" s="305"/>
      <c r="E36" s="305"/>
      <c r="F36" s="305"/>
      <c r="G36" s="580"/>
      <c r="H36" s="305"/>
      <c r="I36" s="305"/>
      <c r="J36" s="305"/>
      <c r="K36" s="305"/>
      <c r="L36" s="305"/>
      <c r="M36" s="206">
        <f t="shared" si="2"/>
        <v>0</v>
      </c>
    </row>
    <row r="37" spans="1:13" ht="15.75" customHeight="1">
      <c r="A37" s="205" t="s">
        <v>260</v>
      </c>
      <c r="B37" s="98" t="s">
        <v>133</v>
      </c>
      <c r="C37" s="139" t="s">
        <v>134</v>
      </c>
      <c r="D37" s="305"/>
      <c r="E37" s="305"/>
      <c r="F37" s="305"/>
      <c r="G37" s="580"/>
      <c r="H37" s="305"/>
      <c r="I37" s="305"/>
      <c r="J37" s="305"/>
      <c r="K37" s="305"/>
      <c r="L37" s="305"/>
      <c r="M37" s="206">
        <f t="shared" si="2"/>
        <v>0</v>
      </c>
    </row>
    <row r="38" spans="1:13" ht="15.75" customHeight="1">
      <c r="A38" s="205" t="s">
        <v>261</v>
      </c>
      <c r="B38" s="98" t="s">
        <v>135</v>
      </c>
      <c r="C38" s="139" t="s">
        <v>63</v>
      </c>
      <c r="D38" s="305">
        <v>-1292</v>
      </c>
      <c r="E38" s="305">
        <v>14858.9</v>
      </c>
      <c r="F38" s="305"/>
      <c r="G38" s="580">
        <v>20350.55</v>
      </c>
      <c r="H38" s="305"/>
      <c r="I38" s="305">
        <v>-368376</v>
      </c>
      <c r="J38" s="305"/>
      <c r="K38" s="305"/>
      <c r="L38" s="305"/>
      <c r="M38" s="206">
        <f t="shared" si="2"/>
        <v>-334458.55</v>
      </c>
    </row>
    <row r="39" spans="1:13" ht="15.75" customHeight="1">
      <c r="A39" s="205" t="s">
        <v>262</v>
      </c>
      <c r="B39" s="98" t="s">
        <v>263</v>
      </c>
      <c r="C39" s="139" t="s">
        <v>136</v>
      </c>
      <c r="D39" s="305"/>
      <c r="E39" s="305"/>
      <c r="F39" s="305"/>
      <c r="G39" s="580"/>
      <c r="H39" s="305"/>
      <c r="I39" s="305">
        <v>434376</v>
      </c>
      <c r="J39" s="305"/>
      <c r="K39" s="305"/>
      <c r="L39" s="305"/>
      <c r="M39" s="206">
        <f t="shared" si="2"/>
        <v>434376</v>
      </c>
    </row>
    <row r="40" spans="1:13" ht="15.75" customHeight="1">
      <c r="A40" s="205" t="s">
        <v>264</v>
      </c>
      <c r="B40" s="98" t="s">
        <v>265</v>
      </c>
      <c r="C40" s="139" t="s">
        <v>266</v>
      </c>
      <c r="D40" s="305">
        <v>2762578.3</v>
      </c>
      <c r="E40" s="305">
        <v>3765161.91</v>
      </c>
      <c r="F40" s="305">
        <v>1937204.34</v>
      </c>
      <c r="G40" s="580">
        <v>1258924.1</v>
      </c>
      <c r="H40" s="305"/>
      <c r="I40" s="305">
        <v>3296956.76</v>
      </c>
      <c r="J40" s="305">
        <v>1567311.46</v>
      </c>
      <c r="K40" s="305">
        <v>92401</v>
      </c>
      <c r="L40" s="305">
        <v>76395.25</v>
      </c>
      <c r="M40" s="206">
        <f t="shared" si="2"/>
        <v>14756933.120000001</v>
      </c>
    </row>
    <row r="41" spans="1:13" ht="15.75" customHeight="1">
      <c r="A41" s="205" t="s">
        <v>267</v>
      </c>
      <c r="B41" s="98" t="s">
        <v>137</v>
      </c>
      <c r="C41" s="139" t="s">
        <v>57</v>
      </c>
      <c r="D41" s="305">
        <v>26171066.44</v>
      </c>
      <c r="E41" s="305">
        <v>313245.67</v>
      </c>
      <c r="F41" s="305">
        <v>91091.9</v>
      </c>
      <c r="G41" s="580">
        <v>742996.27</v>
      </c>
      <c r="H41" s="305">
        <v>17525166.31</v>
      </c>
      <c r="I41" s="305">
        <v>1331214.52</v>
      </c>
      <c r="J41" s="305">
        <v>286828.1</v>
      </c>
      <c r="K41" s="305">
        <v>61650</v>
      </c>
      <c r="L41" s="305">
        <v>138303.6</v>
      </c>
      <c r="M41" s="206">
        <f t="shared" si="2"/>
        <v>46661562.81000001</v>
      </c>
    </row>
    <row r="42" spans="1:13" ht="15.75" customHeight="1">
      <c r="A42" s="203" t="s">
        <v>268</v>
      </c>
      <c r="B42" s="97" t="s">
        <v>138</v>
      </c>
      <c r="C42" s="138" t="s">
        <v>176</v>
      </c>
      <c r="D42" s="307">
        <f aca="true" t="shared" si="3" ref="D42:M42">SUM(D43:D47)</f>
        <v>38473734.39</v>
      </c>
      <c r="E42" s="307">
        <f t="shared" si="3"/>
        <v>126852.56</v>
      </c>
      <c r="F42" s="307">
        <f t="shared" si="3"/>
        <v>5777.14</v>
      </c>
      <c r="G42" s="578">
        <f t="shared" si="3"/>
        <v>46848.38</v>
      </c>
      <c r="H42" s="307">
        <f t="shared" si="3"/>
        <v>1531218.42</v>
      </c>
      <c r="I42" s="307">
        <f t="shared" si="3"/>
        <v>33333.95</v>
      </c>
      <c r="J42" s="307">
        <f t="shared" si="3"/>
        <v>1162589.4200000002</v>
      </c>
      <c r="K42" s="307">
        <f t="shared" si="3"/>
        <v>14429.2</v>
      </c>
      <c r="L42" s="307">
        <f t="shared" si="3"/>
        <v>122323.06</v>
      </c>
      <c r="M42" s="204">
        <f t="shared" si="3"/>
        <v>41517106.52000002</v>
      </c>
    </row>
    <row r="43" spans="1:13" ht="15.75" customHeight="1">
      <c r="A43" s="205" t="s">
        <v>269</v>
      </c>
      <c r="B43" s="98" t="s">
        <v>270</v>
      </c>
      <c r="C43" s="139" t="s">
        <v>271</v>
      </c>
      <c r="D43" s="305"/>
      <c r="E43" s="305"/>
      <c r="F43" s="305"/>
      <c r="G43" s="580"/>
      <c r="H43" s="305"/>
      <c r="I43" s="305"/>
      <c r="J43" s="305"/>
      <c r="K43" s="305"/>
      <c r="L43" s="305"/>
      <c r="M43" s="206">
        <f>SUM(D43:L43)</f>
        <v>0</v>
      </c>
    </row>
    <row r="44" spans="1:13" ht="15.75" customHeight="1">
      <c r="A44" s="205" t="s">
        <v>272</v>
      </c>
      <c r="B44" s="98" t="s">
        <v>52</v>
      </c>
      <c r="C44" s="139" t="s">
        <v>139</v>
      </c>
      <c r="D44" s="305"/>
      <c r="E44" s="305"/>
      <c r="F44" s="305"/>
      <c r="G44" s="580"/>
      <c r="H44" s="305"/>
      <c r="I44" s="305"/>
      <c r="J44" s="305"/>
      <c r="K44" s="305"/>
      <c r="L44" s="305"/>
      <c r="M44" s="206">
        <f>SUM(D44:L44)</f>
        <v>0</v>
      </c>
    </row>
    <row r="45" spans="1:13" ht="15.75" customHeight="1">
      <c r="A45" s="205" t="s">
        <v>273</v>
      </c>
      <c r="B45" s="98" t="s">
        <v>53</v>
      </c>
      <c r="C45" s="139" t="s">
        <v>140</v>
      </c>
      <c r="D45" s="305">
        <v>38473734.39</v>
      </c>
      <c r="E45" s="305">
        <v>126852.56</v>
      </c>
      <c r="F45" s="305">
        <v>5777.14</v>
      </c>
      <c r="G45" s="580">
        <v>46848.38</v>
      </c>
      <c r="H45" s="305">
        <v>1531218.42</v>
      </c>
      <c r="I45" s="305">
        <v>33333.95</v>
      </c>
      <c r="J45" s="305">
        <v>572.31</v>
      </c>
      <c r="K45" s="305">
        <v>14429.2</v>
      </c>
      <c r="L45" s="305">
        <v>122323.06</v>
      </c>
      <c r="M45" s="206">
        <f>SUM(D45:L45)</f>
        <v>40355089.41000002</v>
      </c>
    </row>
    <row r="46" spans="1:13" ht="12.75">
      <c r="A46" s="205" t="s">
        <v>274</v>
      </c>
      <c r="B46" s="98" t="s">
        <v>141</v>
      </c>
      <c r="C46" s="139" t="s">
        <v>142</v>
      </c>
      <c r="D46" s="305"/>
      <c r="E46" s="305"/>
      <c r="F46" s="305"/>
      <c r="G46" s="580"/>
      <c r="H46" s="305"/>
      <c r="I46" s="305"/>
      <c r="J46" s="305">
        <v>1151075.76</v>
      </c>
      <c r="K46" s="305"/>
      <c r="L46" s="305"/>
      <c r="M46" s="206">
        <f>SUM(D46:L46)</f>
        <v>1151075.76</v>
      </c>
    </row>
    <row r="47" spans="1:13" ht="15.75" customHeight="1">
      <c r="A47" s="205" t="s">
        <v>275</v>
      </c>
      <c r="B47" s="98" t="s">
        <v>143</v>
      </c>
      <c r="C47" s="139" t="s">
        <v>144</v>
      </c>
      <c r="D47" s="308"/>
      <c r="E47" s="308"/>
      <c r="F47" s="308"/>
      <c r="G47" s="331"/>
      <c r="H47" s="308"/>
      <c r="I47" s="308"/>
      <c r="J47" s="308">
        <v>10941.35</v>
      </c>
      <c r="K47" s="308"/>
      <c r="L47" s="308"/>
      <c r="M47" s="206">
        <f>SUM(D47:L47)</f>
        <v>10941.35</v>
      </c>
    </row>
    <row r="48" spans="1:13" ht="12.75">
      <c r="A48" s="203" t="s">
        <v>276</v>
      </c>
      <c r="B48" s="97" t="s">
        <v>198</v>
      </c>
      <c r="C48" s="138" t="s">
        <v>176</v>
      </c>
      <c r="D48" s="307">
        <f>D49+D50</f>
        <v>1020629833.56</v>
      </c>
      <c r="E48" s="307">
        <f aca="true" t="shared" si="4" ref="E48:M48">E49+E50</f>
        <v>0</v>
      </c>
      <c r="F48" s="307">
        <f t="shared" si="4"/>
        <v>0</v>
      </c>
      <c r="G48" s="307">
        <f t="shared" si="4"/>
        <v>0</v>
      </c>
      <c r="H48" s="307">
        <f t="shared" si="4"/>
        <v>0</v>
      </c>
      <c r="I48" s="307">
        <f t="shared" si="4"/>
        <v>0</v>
      </c>
      <c r="J48" s="307">
        <f t="shared" si="4"/>
        <v>0</v>
      </c>
      <c r="K48" s="307">
        <f t="shared" si="4"/>
        <v>0</v>
      </c>
      <c r="L48" s="307">
        <f t="shared" si="4"/>
        <v>0</v>
      </c>
      <c r="M48" s="307">
        <f t="shared" si="4"/>
        <v>1020629833.56</v>
      </c>
    </row>
    <row r="49" spans="1:13" ht="25.5">
      <c r="A49" s="205" t="s">
        <v>277</v>
      </c>
      <c r="B49" s="98" t="s">
        <v>278</v>
      </c>
      <c r="C49" s="139" t="s">
        <v>145</v>
      </c>
      <c r="D49" s="308">
        <v>1020629833.56</v>
      </c>
      <c r="E49" s="308"/>
      <c r="F49" s="308"/>
      <c r="G49" s="331"/>
      <c r="H49" s="308"/>
      <c r="I49" s="305"/>
      <c r="J49" s="308"/>
      <c r="K49" s="308"/>
      <c r="L49" s="308"/>
      <c r="M49" s="206">
        <f>SUM(D49:L49)</f>
        <v>1020629833.56</v>
      </c>
    </row>
    <row r="50" spans="1:13" ht="25.5">
      <c r="A50" s="205" t="s">
        <v>279</v>
      </c>
      <c r="B50" s="98" t="s">
        <v>280</v>
      </c>
      <c r="C50" s="139" t="s">
        <v>146</v>
      </c>
      <c r="D50" s="305"/>
      <c r="E50" s="305"/>
      <c r="F50" s="305"/>
      <c r="G50" s="580"/>
      <c r="H50" s="305"/>
      <c r="I50" s="305"/>
      <c r="J50" s="305"/>
      <c r="K50" s="305"/>
      <c r="L50" s="305"/>
      <c r="M50" s="206">
        <f>SUM(D50:L50)</f>
        <v>0</v>
      </c>
    </row>
    <row r="51" spans="1:13" ht="15.75" customHeight="1">
      <c r="A51" s="203" t="s">
        <v>281</v>
      </c>
      <c r="B51" s="97" t="s">
        <v>76</v>
      </c>
      <c r="C51" s="138" t="s">
        <v>176</v>
      </c>
      <c r="D51" s="307">
        <f>SUM(D52:D53)</f>
        <v>7573.92</v>
      </c>
      <c r="E51" s="307">
        <f aca="true" t="shared" si="5" ref="E51:M51">SUM(E52:E53)</f>
        <v>0</v>
      </c>
      <c r="F51" s="307">
        <f t="shared" si="5"/>
        <v>0</v>
      </c>
      <c r="G51" s="307">
        <f t="shared" si="5"/>
        <v>1185700</v>
      </c>
      <c r="H51" s="307">
        <f t="shared" si="5"/>
        <v>0</v>
      </c>
      <c r="I51" s="307">
        <f t="shared" si="5"/>
        <v>1549490</v>
      </c>
      <c r="J51" s="307">
        <f t="shared" si="5"/>
        <v>0</v>
      </c>
      <c r="K51" s="307">
        <f t="shared" si="5"/>
        <v>57000</v>
      </c>
      <c r="L51" s="307">
        <f t="shared" si="5"/>
        <v>0</v>
      </c>
      <c r="M51" s="307">
        <f t="shared" si="5"/>
        <v>2799763.92</v>
      </c>
    </row>
    <row r="52" spans="1:13" ht="15.75" customHeight="1">
      <c r="A52" s="205" t="s">
        <v>282</v>
      </c>
      <c r="B52" s="98" t="s">
        <v>76</v>
      </c>
      <c r="C52" s="139" t="s">
        <v>75</v>
      </c>
      <c r="D52" s="305">
        <v>7573.92</v>
      </c>
      <c r="E52" s="305"/>
      <c r="F52" s="305"/>
      <c r="G52" s="580">
        <v>1185700</v>
      </c>
      <c r="H52" s="305"/>
      <c r="I52" s="305">
        <v>1549490</v>
      </c>
      <c r="J52" s="305"/>
      <c r="K52" s="305">
        <v>57000</v>
      </c>
      <c r="L52" s="305"/>
      <c r="M52" s="206">
        <f>SUM(D52:L52)</f>
        <v>2799763.92</v>
      </c>
    </row>
    <row r="53" spans="1:13" ht="15.75" customHeight="1">
      <c r="A53" s="205" t="s">
        <v>283</v>
      </c>
      <c r="B53" s="98" t="s">
        <v>78</v>
      </c>
      <c r="C53" s="139" t="s">
        <v>77</v>
      </c>
      <c r="D53" s="308"/>
      <c r="E53" s="308"/>
      <c r="F53" s="308"/>
      <c r="G53" s="331"/>
      <c r="H53" s="308"/>
      <c r="I53" s="308"/>
      <c r="J53" s="308"/>
      <c r="K53" s="308"/>
      <c r="L53" s="308"/>
      <c r="M53" s="206">
        <f>SUM(D53:L53)</f>
        <v>0</v>
      </c>
    </row>
    <row r="54" spans="1:15" ht="15.75" customHeight="1">
      <c r="A54" s="202" t="s">
        <v>147</v>
      </c>
      <c r="B54" s="96" t="s">
        <v>199</v>
      </c>
      <c r="C54" s="137" t="s">
        <v>176</v>
      </c>
      <c r="D54" s="309">
        <f>D55+D71+D77</f>
        <v>1260608331.7399998</v>
      </c>
      <c r="E54" s="309">
        <f aca="true" t="shared" si="6" ref="E54:L54">E55+E71+E77</f>
        <v>224265192.96</v>
      </c>
      <c r="F54" s="309">
        <f t="shared" si="6"/>
        <v>39727945.14</v>
      </c>
      <c r="G54" s="581">
        <f t="shared" si="6"/>
        <v>305277668.71</v>
      </c>
      <c r="H54" s="309">
        <f t="shared" si="6"/>
        <v>22145608.14</v>
      </c>
      <c r="I54" s="309">
        <f t="shared" si="6"/>
        <v>153932735.01999998</v>
      </c>
      <c r="J54" s="309">
        <f t="shared" si="6"/>
        <v>198239372.55999997</v>
      </c>
      <c r="K54" s="309">
        <f t="shared" si="6"/>
        <v>6749827.569999999</v>
      </c>
      <c r="L54" s="309">
        <f t="shared" si="6"/>
        <v>15309730.81</v>
      </c>
      <c r="M54" s="207">
        <f>M55+M71+M77</f>
        <v>2226256412.65</v>
      </c>
      <c r="O54" s="113"/>
    </row>
    <row r="55" spans="1:13" ht="15.75" customHeight="1">
      <c r="A55" s="203" t="s">
        <v>284</v>
      </c>
      <c r="B55" s="97" t="s">
        <v>148</v>
      </c>
      <c r="C55" s="138" t="s">
        <v>176</v>
      </c>
      <c r="D55" s="307">
        <f>SUM(D56:D70)</f>
        <v>2657028.32</v>
      </c>
      <c r="E55" s="307">
        <f aca="true" t="shared" si="7" ref="E55:M55">SUM(E56:E70)</f>
        <v>8624537.32</v>
      </c>
      <c r="F55" s="307">
        <f t="shared" si="7"/>
        <v>5164247.140000001</v>
      </c>
      <c r="G55" s="578">
        <f t="shared" si="7"/>
        <v>26467445.24</v>
      </c>
      <c r="H55" s="578">
        <f t="shared" si="7"/>
        <v>2461499.75</v>
      </c>
      <c r="I55" s="307">
        <f t="shared" si="7"/>
        <v>45875583.099999994</v>
      </c>
      <c r="J55" s="307">
        <f t="shared" si="7"/>
        <v>5557103.59</v>
      </c>
      <c r="K55" s="307">
        <f t="shared" si="7"/>
        <v>721589.6299999999</v>
      </c>
      <c r="L55" s="307">
        <f t="shared" si="7"/>
        <v>1389282.66</v>
      </c>
      <c r="M55" s="204">
        <f t="shared" si="7"/>
        <v>98918316.75</v>
      </c>
    </row>
    <row r="56" spans="1:13" ht="15.75" customHeight="1">
      <c r="A56" s="205" t="s">
        <v>285</v>
      </c>
      <c r="B56" s="98" t="s">
        <v>149</v>
      </c>
      <c r="C56" s="139" t="s">
        <v>64</v>
      </c>
      <c r="D56" s="305"/>
      <c r="E56" s="305">
        <v>3800</v>
      </c>
      <c r="F56" s="305">
        <v>168292</v>
      </c>
      <c r="G56" s="580"/>
      <c r="H56" s="305"/>
      <c r="I56" s="305"/>
      <c r="J56" s="305"/>
      <c r="K56" s="305">
        <v>345706.5</v>
      </c>
      <c r="L56" s="305"/>
      <c r="M56" s="206">
        <f>SUM(D56:L56)</f>
        <v>517798.5</v>
      </c>
    </row>
    <row r="57" spans="1:13" ht="15.75" customHeight="1">
      <c r="A57" s="205" t="s">
        <v>286</v>
      </c>
      <c r="B57" s="98" t="s">
        <v>150</v>
      </c>
      <c r="C57" s="139" t="s">
        <v>65</v>
      </c>
      <c r="D57" s="305">
        <v>1001646.8</v>
      </c>
      <c r="E57" s="305">
        <v>4605376.7</v>
      </c>
      <c r="F57" s="305">
        <v>898316.2</v>
      </c>
      <c r="G57" s="580">
        <v>1775154.05</v>
      </c>
      <c r="H57" s="305"/>
      <c r="I57" s="305">
        <v>27161033.81</v>
      </c>
      <c r="J57" s="305"/>
      <c r="K57" s="305">
        <v>650829</v>
      </c>
      <c r="L57" s="305">
        <v>1369885.66</v>
      </c>
      <c r="M57" s="206">
        <f aca="true" t="shared" si="8" ref="M57:M70">SUM(D57:L57)</f>
        <v>37462242.22</v>
      </c>
    </row>
    <row r="58" spans="1:13" ht="15.75" customHeight="1">
      <c r="A58" s="205" t="s">
        <v>287</v>
      </c>
      <c r="B58" s="98" t="s">
        <v>151</v>
      </c>
      <c r="C58" s="139" t="s">
        <v>152</v>
      </c>
      <c r="D58" s="305">
        <v>366216</v>
      </c>
      <c r="E58" s="305">
        <v>384924.91</v>
      </c>
      <c r="F58" s="305"/>
      <c r="G58" s="580">
        <v>15952703.62</v>
      </c>
      <c r="H58" s="305"/>
      <c r="I58" s="305">
        <v>10695090.85</v>
      </c>
      <c r="J58" s="305"/>
      <c r="K58" s="305"/>
      <c r="L58" s="305"/>
      <c r="M58" s="206">
        <f t="shared" si="8"/>
        <v>27398935.38</v>
      </c>
    </row>
    <row r="59" spans="1:13" ht="15.75" customHeight="1">
      <c r="A59" s="205" t="s">
        <v>288</v>
      </c>
      <c r="B59" s="98" t="s">
        <v>153</v>
      </c>
      <c r="C59" s="139" t="s">
        <v>66</v>
      </c>
      <c r="D59" s="305"/>
      <c r="E59" s="305">
        <v>3448.18</v>
      </c>
      <c r="F59" s="305"/>
      <c r="G59" s="580"/>
      <c r="H59" s="305"/>
      <c r="I59" s="305"/>
      <c r="J59" s="305"/>
      <c r="K59" s="305"/>
      <c r="L59" s="305"/>
      <c r="M59" s="206">
        <f t="shared" si="8"/>
        <v>3448.18</v>
      </c>
    </row>
    <row r="60" spans="1:13" ht="15.75" customHeight="1">
      <c r="A60" s="311" t="s">
        <v>429</v>
      </c>
      <c r="B60" s="98" t="s">
        <v>430</v>
      </c>
      <c r="C60" s="139" t="s">
        <v>428</v>
      </c>
      <c r="D60" s="305"/>
      <c r="E60" s="305"/>
      <c r="F60" s="305"/>
      <c r="G60" s="580"/>
      <c r="H60" s="305"/>
      <c r="I60" s="305"/>
      <c r="J60" s="305"/>
      <c r="K60" s="305"/>
      <c r="L60" s="305"/>
      <c r="M60" s="206">
        <f t="shared" si="8"/>
        <v>0</v>
      </c>
    </row>
    <row r="61" spans="1:13" ht="15.75" customHeight="1">
      <c r="A61" s="205" t="s">
        <v>289</v>
      </c>
      <c r="B61" s="98" t="s">
        <v>154</v>
      </c>
      <c r="C61" s="139" t="s">
        <v>155</v>
      </c>
      <c r="D61" s="305"/>
      <c r="E61" s="305"/>
      <c r="F61" s="305"/>
      <c r="G61" s="580"/>
      <c r="H61" s="305"/>
      <c r="I61" s="305"/>
      <c r="J61" s="305"/>
      <c r="K61" s="305"/>
      <c r="L61" s="305"/>
      <c r="M61" s="206">
        <f t="shared" si="8"/>
        <v>0</v>
      </c>
    </row>
    <row r="62" spans="1:13" ht="15.75" customHeight="1">
      <c r="A62" s="205" t="s">
        <v>290</v>
      </c>
      <c r="B62" s="98" t="s">
        <v>48</v>
      </c>
      <c r="C62" s="139" t="s">
        <v>68</v>
      </c>
      <c r="D62" s="305"/>
      <c r="E62" s="305"/>
      <c r="F62" s="305"/>
      <c r="G62" s="580"/>
      <c r="H62" s="305"/>
      <c r="I62" s="305"/>
      <c r="J62" s="305"/>
      <c r="K62" s="305"/>
      <c r="L62" s="305"/>
      <c r="M62" s="206">
        <f t="shared" si="8"/>
        <v>0</v>
      </c>
    </row>
    <row r="63" spans="1:13" ht="15.75" customHeight="1">
      <c r="A63" s="205" t="s">
        <v>291</v>
      </c>
      <c r="B63" s="98" t="s">
        <v>128</v>
      </c>
      <c r="C63" s="139" t="s">
        <v>69</v>
      </c>
      <c r="D63" s="305"/>
      <c r="E63" s="305"/>
      <c r="F63" s="305"/>
      <c r="G63" s="580"/>
      <c r="H63" s="305"/>
      <c r="I63" s="305"/>
      <c r="J63" s="305"/>
      <c r="K63" s="305"/>
      <c r="L63" s="305"/>
      <c r="M63" s="206">
        <f t="shared" si="8"/>
        <v>0</v>
      </c>
    </row>
    <row r="64" spans="1:13" ht="15.75" customHeight="1">
      <c r="A64" s="205" t="s">
        <v>292</v>
      </c>
      <c r="B64" s="98" t="s">
        <v>293</v>
      </c>
      <c r="C64" s="139" t="s">
        <v>70</v>
      </c>
      <c r="D64" s="305"/>
      <c r="E64" s="305"/>
      <c r="F64" s="305"/>
      <c r="G64" s="580"/>
      <c r="H64" s="305"/>
      <c r="I64" s="305"/>
      <c r="J64" s="305"/>
      <c r="K64" s="305"/>
      <c r="L64" s="305"/>
      <c r="M64" s="206">
        <f t="shared" si="8"/>
        <v>0</v>
      </c>
    </row>
    <row r="65" spans="1:13" ht="15.75" customHeight="1">
      <c r="A65" s="205" t="s">
        <v>294</v>
      </c>
      <c r="B65" s="98" t="s">
        <v>156</v>
      </c>
      <c r="C65" s="139" t="s">
        <v>71</v>
      </c>
      <c r="D65" s="305"/>
      <c r="E65" s="305">
        <v>15353.02</v>
      </c>
      <c r="F65" s="305"/>
      <c r="G65" s="580"/>
      <c r="H65" s="305"/>
      <c r="I65" s="305"/>
      <c r="J65" s="305"/>
      <c r="K65" s="305"/>
      <c r="L65" s="305"/>
      <c r="M65" s="206">
        <f t="shared" si="8"/>
        <v>15353.02</v>
      </c>
    </row>
    <row r="66" spans="1:13" ht="25.5">
      <c r="A66" s="205" t="s">
        <v>295</v>
      </c>
      <c r="B66" s="98" t="s">
        <v>157</v>
      </c>
      <c r="C66" s="139" t="s">
        <v>72</v>
      </c>
      <c r="D66" s="305"/>
      <c r="E66" s="305"/>
      <c r="F66" s="305"/>
      <c r="G66" s="580"/>
      <c r="H66" s="305"/>
      <c r="I66" s="305"/>
      <c r="J66" s="305"/>
      <c r="K66" s="305"/>
      <c r="L66" s="305"/>
      <c r="M66" s="206">
        <f t="shared" si="8"/>
        <v>0</v>
      </c>
    </row>
    <row r="67" spans="1:13" ht="25.5">
      <c r="A67" s="205" t="s">
        <v>296</v>
      </c>
      <c r="B67" s="98" t="s">
        <v>158</v>
      </c>
      <c r="C67" s="139" t="s">
        <v>159</v>
      </c>
      <c r="D67" s="305"/>
      <c r="E67" s="305">
        <v>10000</v>
      </c>
      <c r="F67" s="305"/>
      <c r="G67" s="580"/>
      <c r="H67" s="305"/>
      <c r="I67" s="305"/>
      <c r="J67" s="305">
        <v>256330</v>
      </c>
      <c r="K67" s="305"/>
      <c r="L67" s="305"/>
      <c r="M67" s="206">
        <f t="shared" si="8"/>
        <v>266330</v>
      </c>
    </row>
    <row r="68" spans="1:13" ht="15.75" customHeight="1">
      <c r="A68" s="205" t="s">
        <v>297</v>
      </c>
      <c r="B68" s="98" t="s">
        <v>160</v>
      </c>
      <c r="C68" s="139" t="s">
        <v>161</v>
      </c>
      <c r="D68" s="305"/>
      <c r="E68" s="305"/>
      <c r="F68" s="305"/>
      <c r="G68" s="580"/>
      <c r="H68" s="305"/>
      <c r="I68" s="305"/>
      <c r="J68" s="305"/>
      <c r="K68" s="305"/>
      <c r="L68" s="305"/>
      <c r="M68" s="206">
        <f t="shared" si="8"/>
        <v>0</v>
      </c>
    </row>
    <row r="69" spans="1:13" ht="15.75" customHeight="1">
      <c r="A69" s="205" t="s">
        <v>298</v>
      </c>
      <c r="B69" s="98" t="s">
        <v>162</v>
      </c>
      <c r="C69" s="139" t="s">
        <v>163</v>
      </c>
      <c r="D69" s="305">
        <v>875045.75</v>
      </c>
      <c r="E69" s="305">
        <v>2832974.68</v>
      </c>
      <c r="F69" s="305">
        <v>3439952.21</v>
      </c>
      <c r="G69" s="580">
        <v>1078997.25</v>
      </c>
      <c r="H69" s="305"/>
      <c r="I69" s="305">
        <v>6937120.18</v>
      </c>
      <c r="J69" s="305">
        <v>5288369.49</v>
      </c>
      <c r="K69" s="305">
        <v>-352344.59</v>
      </c>
      <c r="L69" s="305">
        <v>18307</v>
      </c>
      <c r="M69" s="206">
        <f t="shared" si="8"/>
        <v>20118421.970000003</v>
      </c>
    </row>
    <row r="70" spans="1:13" ht="15.75" customHeight="1">
      <c r="A70" s="205" t="s">
        <v>299</v>
      </c>
      <c r="B70" s="98" t="s">
        <v>164</v>
      </c>
      <c r="C70" s="139" t="s">
        <v>74</v>
      </c>
      <c r="D70" s="305">
        <v>414119.77</v>
      </c>
      <c r="E70" s="308">
        <v>768659.83</v>
      </c>
      <c r="F70" s="308">
        <v>657686.73</v>
      </c>
      <c r="G70" s="580">
        <v>7660590.32</v>
      </c>
      <c r="H70" s="308">
        <v>2461499.75</v>
      </c>
      <c r="I70" s="308">
        <v>1082338.26</v>
      </c>
      <c r="J70" s="308">
        <v>12404.1</v>
      </c>
      <c r="K70" s="308">
        <v>77398.72</v>
      </c>
      <c r="L70" s="308">
        <v>1090</v>
      </c>
      <c r="M70" s="206">
        <f t="shared" si="8"/>
        <v>13135787.48</v>
      </c>
    </row>
    <row r="71" spans="1:13" ht="15.75" customHeight="1">
      <c r="A71" s="203" t="s">
        <v>300</v>
      </c>
      <c r="B71" s="97" t="s">
        <v>165</v>
      </c>
      <c r="C71" s="138" t="s">
        <v>176</v>
      </c>
      <c r="D71" s="307">
        <f>SUM(D72:D76)</f>
        <v>36939522.8</v>
      </c>
      <c r="E71" s="307">
        <f>SUM(E72:E76)</f>
        <v>246.7</v>
      </c>
      <c r="F71" s="307">
        <f aca="true" t="shared" si="9" ref="F71:L71">SUM(F72:F76)</f>
        <v>0</v>
      </c>
      <c r="G71" s="307">
        <f t="shared" si="9"/>
        <v>19523.469999999998</v>
      </c>
      <c r="H71" s="307">
        <f t="shared" si="9"/>
        <v>814608.39</v>
      </c>
      <c r="I71" s="307">
        <f t="shared" si="9"/>
        <v>8226.2</v>
      </c>
      <c r="J71" s="307">
        <f t="shared" si="9"/>
        <v>21829.8</v>
      </c>
      <c r="K71" s="307">
        <f t="shared" si="9"/>
        <v>1436.35</v>
      </c>
      <c r="L71" s="307">
        <f t="shared" si="9"/>
        <v>1081.1499999999999</v>
      </c>
      <c r="M71" s="204">
        <f aca="true" t="shared" si="10" ref="M71:M76">SUM(D71:L71)</f>
        <v>37806474.86</v>
      </c>
    </row>
    <row r="72" spans="1:13" ht="15.75" customHeight="1">
      <c r="A72" s="205" t="s">
        <v>301</v>
      </c>
      <c r="B72" s="98" t="s">
        <v>302</v>
      </c>
      <c r="C72" s="139" t="s">
        <v>303</v>
      </c>
      <c r="D72" s="305"/>
      <c r="E72" s="305"/>
      <c r="F72" s="305"/>
      <c r="G72" s="580"/>
      <c r="H72" s="305"/>
      <c r="I72" s="305"/>
      <c r="J72" s="305"/>
      <c r="K72" s="305"/>
      <c r="L72" s="305"/>
      <c r="M72" s="206">
        <f t="shared" si="10"/>
        <v>0</v>
      </c>
    </row>
    <row r="73" spans="1:13" ht="15.75" customHeight="1">
      <c r="A73" s="205" t="s">
        <v>304</v>
      </c>
      <c r="B73" s="98" t="s">
        <v>52</v>
      </c>
      <c r="C73" s="139" t="s">
        <v>166</v>
      </c>
      <c r="D73" s="305"/>
      <c r="E73" s="305">
        <v>139.06</v>
      </c>
      <c r="F73" s="305"/>
      <c r="G73" s="580">
        <v>171.44</v>
      </c>
      <c r="H73" s="305">
        <v>1102.89</v>
      </c>
      <c r="I73" s="305">
        <v>5495</v>
      </c>
      <c r="J73" s="305">
        <v>17829.8</v>
      </c>
      <c r="K73" s="305"/>
      <c r="L73" s="305">
        <v>246.48</v>
      </c>
      <c r="M73" s="206">
        <f t="shared" si="10"/>
        <v>24984.67</v>
      </c>
    </row>
    <row r="74" spans="1:13" ht="12.75">
      <c r="A74" s="205" t="s">
        <v>305</v>
      </c>
      <c r="B74" s="98" t="s">
        <v>73</v>
      </c>
      <c r="C74" s="139" t="s">
        <v>167</v>
      </c>
      <c r="D74" s="305">
        <v>36939522.8</v>
      </c>
      <c r="E74" s="305">
        <v>107.64</v>
      </c>
      <c r="F74" s="305"/>
      <c r="G74" s="580">
        <v>19352.03</v>
      </c>
      <c r="H74" s="305">
        <v>813492.64</v>
      </c>
      <c r="I74" s="305">
        <v>2731.2</v>
      </c>
      <c r="J74" s="305"/>
      <c r="K74" s="305">
        <v>1436.35</v>
      </c>
      <c r="L74" s="305">
        <v>834.67</v>
      </c>
      <c r="M74" s="206">
        <f t="shared" si="10"/>
        <v>37777477.330000006</v>
      </c>
    </row>
    <row r="75" spans="1:13" ht="12.75">
      <c r="A75" s="205" t="s">
        <v>306</v>
      </c>
      <c r="B75" s="98" t="s">
        <v>168</v>
      </c>
      <c r="C75" s="139" t="s">
        <v>169</v>
      </c>
      <c r="D75" s="305"/>
      <c r="E75" s="305"/>
      <c r="F75" s="305"/>
      <c r="G75" s="580"/>
      <c r="H75" s="305"/>
      <c r="I75" s="305"/>
      <c r="J75" s="305">
        <v>4000</v>
      </c>
      <c r="K75" s="305"/>
      <c r="L75" s="305"/>
      <c r="M75" s="206">
        <f t="shared" si="10"/>
        <v>4000</v>
      </c>
    </row>
    <row r="76" spans="1:13" ht="12.75">
      <c r="A76" s="205" t="s">
        <v>307</v>
      </c>
      <c r="B76" s="98" t="s">
        <v>170</v>
      </c>
      <c r="C76" s="139" t="s">
        <v>171</v>
      </c>
      <c r="D76" s="305"/>
      <c r="E76" s="305"/>
      <c r="F76" s="305"/>
      <c r="G76" s="580"/>
      <c r="H76" s="305">
        <v>12.86</v>
      </c>
      <c r="I76" s="305"/>
      <c r="J76" s="305"/>
      <c r="K76" s="305"/>
      <c r="L76" s="305"/>
      <c r="M76" s="206">
        <f t="shared" si="10"/>
        <v>12.86</v>
      </c>
    </row>
    <row r="77" spans="1:13" ht="12.75">
      <c r="A77" s="203" t="s">
        <v>308</v>
      </c>
      <c r="B77" s="97" t="s">
        <v>200</v>
      </c>
      <c r="C77" s="138" t="s">
        <v>176</v>
      </c>
      <c r="D77" s="307">
        <f aca="true" t="shared" si="11" ref="D77:L77">SUM(D78:D79)</f>
        <v>1221011780.62</v>
      </c>
      <c r="E77" s="307">
        <f t="shared" si="11"/>
        <v>215640408.94</v>
      </c>
      <c r="F77" s="307">
        <f t="shared" si="11"/>
        <v>34563698</v>
      </c>
      <c r="G77" s="578">
        <f t="shared" si="11"/>
        <v>278790700</v>
      </c>
      <c r="H77" s="307">
        <f t="shared" si="11"/>
        <v>18869500</v>
      </c>
      <c r="I77" s="307">
        <f t="shared" si="11"/>
        <v>108048925.72</v>
      </c>
      <c r="J77" s="307">
        <f t="shared" si="11"/>
        <v>192660439.17</v>
      </c>
      <c r="K77" s="307">
        <f t="shared" si="11"/>
        <v>6026801.59</v>
      </c>
      <c r="L77" s="307">
        <f t="shared" si="11"/>
        <v>13919367</v>
      </c>
      <c r="M77" s="204">
        <f aca="true" t="shared" si="12" ref="M77:M82">SUM(D77:L77)</f>
        <v>2089531621.04</v>
      </c>
    </row>
    <row r="78" spans="1:13" ht="25.5">
      <c r="A78" s="205" t="s">
        <v>309</v>
      </c>
      <c r="B78" s="98" t="s">
        <v>310</v>
      </c>
      <c r="C78" s="139" t="s">
        <v>172</v>
      </c>
      <c r="D78" s="308">
        <v>1221011780.62</v>
      </c>
      <c r="E78" s="308">
        <v>215640408.94</v>
      </c>
      <c r="F78" s="308">
        <v>34563698</v>
      </c>
      <c r="G78" s="331">
        <v>278790700</v>
      </c>
      <c r="H78" s="308">
        <v>18869500</v>
      </c>
      <c r="I78" s="308">
        <v>108048925.72</v>
      </c>
      <c r="J78" s="308">
        <v>192660439.17</v>
      </c>
      <c r="K78" s="308">
        <v>6026801.59</v>
      </c>
      <c r="L78" s="308">
        <v>13919367</v>
      </c>
      <c r="M78" s="206">
        <f>SUM(D78:L78)</f>
        <v>2089531621.04</v>
      </c>
    </row>
    <row r="79" spans="1:13" ht="25.5">
      <c r="A79" s="205" t="s">
        <v>311</v>
      </c>
      <c r="B79" s="98" t="s">
        <v>312</v>
      </c>
      <c r="C79" s="139" t="s">
        <v>173</v>
      </c>
      <c r="D79" s="305"/>
      <c r="E79" s="305"/>
      <c r="F79" s="305"/>
      <c r="G79" s="580"/>
      <c r="H79" s="305"/>
      <c r="I79" s="305"/>
      <c r="J79" s="305"/>
      <c r="K79" s="305"/>
      <c r="L79" s="305"/>
      <c r="M79" s="206">
        <f>SUM(D79:L79)</f>
        <v>0</v>
      </c>
    </row>
    <row r="80" spans="1:13" ht="12.75">
      <c r="A80" s="202" t="s">
        <v>313</v>
      </c>
      <c r="B80" s="96" t="s">
        <v>174</v>
      </c>
      <c r="C80" s="137" t="s">
        <v>176</v>
      </c>
      <c r="D80" s="309"/>
      <c r="E80" s="309"/>
      <c r="F80" s="309"/>
      <c r="G80" s="581"/>
      <c r="H80" s="309"/>
      <c r="I80" s="309"/>
      <c r="J80" s="309"/>
      <c r="K80" s="309"/>
      <c r="L80" s="309"/>
      <c r="M80" s="207"/>
    </row>
    <row r="81" spans="1:13" ht="12.75">
      <c r="A81" s="205" t="s">
        <v>314</v>
      </c>
      <c r="B81" s="98" t="s">
        <v>175</v>
      </c>
      <c r="C81" s="139" t="s">
        <v>176</v>
      </c>
      <c r="D81" s="305">
        <v>97881.81</v>
      </c>
      <c r="E81" s="305">
        <v>3008214.65</v>
      </c>
      <c r="F81" s="305">
        <v>360703.02</v>
      </c>
      <c r="G81" s="580">
        <v>1303124.87</v>
      </c>
      <c r="H81" s="305">
        <v>10508.95</v>
      </c>
      <c r="I81" s="305">
        <v>3392538.77</v>
      </c>
      <c r="J81" s="305">
        <v>5695052.36</v>
      </c>
      <c r="K81" s="305">
        <v>177763.64</v>
      </c>
      <c r="L81" s="305">
        <v>109070.96</v>
      </c>
      <c r="M81" s="206">
        <f t="shared" si="12"/>
        <v>14154859.030000001</v>
      </c>
    </row>
    <row r="82" spans="1:13" ht="13.5" thickBot="1">
      <c r="A82" s="208" t="s">
        <v>315</v>
      </c>
      <c r="B82" s="209" t="s">
        <v>316</v>
      </c>
      <c r="C82" s="210" t="s">
        <v>176</v>
      </c>
      <c r="D82" s="582">
        <v>90307.89</v>
      </c>
      <c r="E82" s="582">
        <v>3008214.65</v>
      </c>
      <c r="F82" s="582">
        <v>360703.02</v>
      </c>
      <c r="G82" s="583">
        <v>117424.87</v>
      </c>
      <c r="H82" s="584">
        <v>10508.95</v>
      </c>
      <c r="I82" s="584">
        <v>1843048.77</v>
      </c>
      <c r="J82" s="584">
        <v>5695052.36</v>
      </c>
      <c r="K82" s="584">
        <v>120763.64</v>
      </c>
      <c r="L82" s="584">
        <v>109070.96</v>
      </c>
      <c r="M82" s="211">
        <f t="shared" si="12"/>
        <v>11355095.110000003</v>
      </c>
    </row>
    <row r="84" spans="4:11" ht="12.75">
      <c r="D84" s="312"/>
      <c r="E84" s="312"/>
      <c r="F84" s="312"/>
      <c r="G84" s="312"/>
      <c r="H84" s="312"/>
      <c r="I84" s="157"/>
      <c r="J84" s="312"/>
      <c r="K84" s="344"/>
    </row>
  </sheetData>
  <sheetProtection/>
  <mergeCells count="1">
    <mergeCell ref="A4:B4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60" zoomScaleNormal="80" zoomScalePageLayoutView="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75" sqref="Q75"/>
    </sheetView>
  </sheetViews>
  <sheetFormatPr defaultColWidth="9.140625" defaultRowHeight="12.75"/>
  <cols>
    <col min="1" max="1" width="6.7109375" style="35" customWidth="1"/>
    <col min="2" max="2" width="43.00390625" style="35" customWidth="1"/>
    <col min="3" max="3" width="6.421875" style="35" bestFit="1" customWidth="1"/>
    <col min="4" max="4" width="16.7109375" style="35" customWidth="1"/>
    <col min="5" max="5" width="12.28125" style="35" customWidth="1"/>
    <col min="6" max="6" width="11.8515625" style="35" customWidth="1"/>
    <col min="7" max="7" width="12.57421875" style="35" customWidth="1"/>
    <col min="8" max="8" width="11.8515625" style="35" customWidth="1"/>
    <col min="9" max="9" width="16.00390625" style="35" customWidth="1"/>
    <col min="10" max="10" width="12.421875" style="35" bestFit="1" customWidth="1"/>
    <col min="11" max="16384" width="9.140625" style="35" customWidth="1"/>
  </cols>
  <sheetData>
    <row r="1" spans="1:9" ht="15.75">
      <c r="A1" s="30"/>
      <c r="B1" s="31"/>
      <c r="C1" s="32"/>
      <c r="D1" s="34"/>
      <c r="I1" s="38" t="s">
        <v>406</v>
      </c>
    </row>
    <row r="2" spans="1:5" ht="15.75">
      <c r="A2" s="36" t="s">
        <v>587</v>
      </c>
      <c r="B2" s="31"/>
      <c r="C2" s="31"/>
      <c r="D2" s="37"/>
      <c r="E2" s="37"/>
    </row>
    <row r="3" spans="1:9" ht="13.5" thickBot="1">
      <c r="A3" s="95"/>
      <c r="B3"/>
      <c r="C3"/>
      <c r="D3"/>
      <c r="E3"/>
      <c r="F3"/>
      <c r="G3"/>
      <c r="H3"/>
      <c r="I3" t="s">
        <v>317</v>
      </c>
    </row>
    <row r="4" spans="1:9" ht="13.5" thickBot="1">
      <c r="A4" s="1030" t="s">
        <v>218</v>
      </c>
      <c r="B4" s="1031"/>
      <c r="C4" s="215" t="s">
        <v>17</v>
      </c>
      <c r="D4" s="216" t="s">
        <v>18</v>
      </c>
      <c r="E4" s="216" t="s">
        <v>194</v>
      </c>
      <c r="F4" s="216" t="s">
        <v>119</v>
      </c>
      <c r="G4" s="216" t="s">
        <v>196</v>
      </c>
      <c r="H4" s="216" t="s">
        <v>120</v>
      </c>
      <c r="I4" s="217" t="s">
        <v>81</v>
      </c>
    </row>
    <row r="5" spans="1:9" ht="12.75">
      <c r="A5" s="212" t="s">
        <v>219</v>
      </c>
      <c r="B5" s="213" t="s">
        <v>197</v>
      </c>
      <c r="C5" s="214" t="s">
        <v>176</v>
      </c>
      <c r="D5" s="306">
        <f>D6+D42+D48+D51</f>
        <v>5497259.5600000005</v>
      </c>
      <c r="E5" s="306">
        <f>E6+E42+E48+E51</f>
        <v>818971.97</v>
      </c>
      <c r="F5" s="306">
        <f>F6+F42+F48+F51</f>
        <v>23461.48</v>
      </c>
      <c r="G5" s="306">
        <f>G6+G42+G48+G51</f>
        <v>5539827.45</v>
      </c>
      <c r="H5" s="306">
        <f>H6+H42+H48+H51</f>
        <v>104846.24</v>
      </c>
      <c r="I5" s="218">
        <f>SUM(D5:H5)</f>
        <v>11984366.700000001</v>
      </c>
    </row>
    <row r="6" spans="1:9" ht="12.75">
      <c r="A6" s="203" t="s">
        <v>220</v>
      </c>
      <c r="B6" s="97" t="s">
        <v>123</v>
      </c>
      <c r="C6" s="138" t="s">
        <v>176</v>
      </c>
      <c r="D6" s="307">
        <f aca="true" t="shared" si="0" ref="D6:I6">SUM(D7:D41)</f>
        <v>5496383.28</v>
      </c>
      <c r="E6" s="307">
        <f t="shared" si="0"/>
        <v>818971.97</v>
      </c>
      <c r="F6" s="307">
        <f t="shared" si="0"/>
        <v>23461.48</v>
      </c>
      <c r="G6" s="307">
        <f t="shared" si="0"/>
        <v>5455087.45</v>
      </c>
      <c r="H6" s="307">
        <f t="shared" si="0"/>
        <v>104846.24</v>
      </c>
      <c r="I6" s="204">
        <f t="shared" si="0"/>
        <v>11898750.42</v>
      </c>
    </row>
    <row r="7" spans="1:9" ht="12.75">
      <c r="A7" s="205" t="s">
        <v>221</v>
      </c>
      <c r="B7" s="98" t="s">
        <v>20</v>
      </c>
      <c r="C7" s="139" t="s">
        <v>19</v>
      </c>
      <c r="D7" s="305">
        <v>1073181.03</v>
      </c>
      <c r="E7" s="305">
        <v>53741.42</v>
      </c>
      <c r="F7" s="305"/>
      <c r="G7" s="305">
        <v>1871863.2</v>
      </c>
      <c r="H7" s="305"/>
      <c r="I7" s="206">
        <f>SUM(D7:H7)</f>
        <v>2998785.65</v>
      </c>
    </row>
    <row r="8" spans="1:9" ht="12.75">
      <c r="A8" s="205" t="s">
        <v>222</v>
      </c>
      <c r="B8" s="98" t="s">
        <v>22</v>
      </c>
      <c r="C8" s="139" t="s">
        <v>21</v>
      </c>
      <c r="D8" s="305">
        <v>239252.15</v>
      </c>
      <c r="E8" s="305"/>
      <c r="F8" s="305"/>
      <c r="G8" s="305">
        <v>383311.46</v>
      </c>
      <c r="H8" s="305"/>
      <c r="I8" s="206">
        <f aca="true" t="shared" si="1" ref="I8:I41">SUM(D8:H8)</f>
        <v>622563.61</v>
      </c>
    </row>
    <row r="9" spans="1:9" ht="12.75">
      <c r="A9" s="205" t="s">
        <v>223</v>
      </c>
      <c r="B9" s="98" t="s">
        <v>124</v>
      </c>
      <c r="C9" s="139" t="s">
        <v>23</v>
      </c>
      <c r="D9" s="305">
        <v>30480.24</v>
      </c>
      <c r="E9" s="305"/>
      <c r="F9" s="305"/>
      <c r="G9" s="305"/>
      <c r="H9" s="305"/>
      <c r="I9" s="206">
        <f t="shared" si="1"/>
        <v>30480.24</v>
      </c>
    </row>
    <row r="10" spans="1:9" ht="12.75">
      <c r="A10" s="205" t="s">
        <v>224</v>
      </c>
      <c r="B10" s="98" t="s">
        <v>25</v>
      </c>
      <c r="C10" s="139" t="s">
        <v>24</v>
      </c>
      <c r="D10" s="305">
        <v>20733.63</v>
      </c>
      <c r="E10" s="305">
        <v>54119.47</v>
      </c>
      <c r="F10" s="305"/>
      <c r="G10" s="305">
        <v>74425.19</v>
      </c>
      <c r="H10" s="305"/>
      <c r="I10" s="206">
        <f t="shared" si="1"/>
        <v>149278.29</v>
      </c>
    </row>
    <row r="11" spans="1:9" ht="12.75">
      <c r="A11" s="205" t="s">
        <v>225</v>
      </c>
      <c r="B11" s="98" t="s">
        <v>226</v>
      </c>
      <c r="C11" s="139" t="s">
        <v>227</v>
      </c>
      <c r="D11" s="305"/>
      <c r="E11" s="305"/>
      <c r="F11" s="305"/>
      <c r="G11" s="305"/>
      <c r="H11" s="305"/>
      <c r="I11" s="206">
        <f t="shared" si="1"/>
        <v>0</v>
      </c>
    </row>
    <row r="12" spans="1:9" ht="12.75">
      <c r="A12" s="205" t="s">
        <v>228</v>
      </c>
      <c r="B12" s="98" t="s">
        <v>229</v>
      </c>
      <c r="C12" s="139" t="s">
        <v>230</v>
      </c>
      <c r="D12" s="305"/>
      <c r="E12" s="305"/>
      <c r="F12" s="305"/>
      <c r="G12" s="305"/>
      <c r="H12" s="305"/>
      <c r="I12" s="206">
        <f t="shared" si="1"/>
        <v>0</v>
      </c>
    </row>
    <row r="13" spans="1:9" ht="12.75">
      <c r="A13" s="205" t="s">
        <v>231</v>
      </c>
      <c r="B13" s="98" t="s">
        <v>232</v>
      </c>
      <c r="C13" s="139" t="s">
        <v>233</v>
      </c>
      <c r="D13" s="305"/>
      <c r="E13" s="305">
        <v>53109.53</v>
      </c>
      <c r="F13" s="305"/>
      <c r="G13" s="305"/>
      <c r="H13" s="305">
        <v>6022.16</v>
      </c>
      <c r="I13" s="206">
        <f t="shared" si="1"/>
        <v>59131.69</v>
      </c>
    </row>
    <row r="14" spans="1:9" ht="12.75">
      <c r="A14" s="205" t="s">
        <v>234</v>
      </c>
      <c r="B14" s="98" t="s">
        <v>27</v>
      </c>
      <c r="C14" s="139" t="s">
        <v>26</v>
      </c>
      <c r="D14" s="305">
        <v>330181.55</v>
      </c>
      <c r="E14" s="305"/>
      <c r="F14" s="305"/>
      <c r="G14" s="305">
        <v>191807.77</v>
      </c>
      <c r="H14" s="305">
        <v>73153</v>
      </c>
      <c r="I14" s="206">
        <f t="shared" si="1"/>
        <v>595142.32</v>
      </c>
    </row>
    <row r="15" spans="1:9" ht="12.75">
      <c r="A15" s="205" t="s">
        <v>235</v>
      </c>
      <c r="B15" s="98" t="s">
        <v>29</v>
      </c>
      <c r="C15" s="139" t="s">
        <v>28</v>
      </c>
      <c r="D15" s="305"/>
      <c r="E15" s="305">
        <v>1467</v>
      </c>
      <c r="F15" s="305"/>
      <c r="G15" s="305">
        <v>198</v>
      </c>
      <c r="H15" s="305"/>
      <c r="I15" s="206">
        <f t="shared" si="1"/>
        <v>1665</v>
      </c>
    </row>
    <row r="16" spans="1:9" ht="15.75" customHeight="1">
      <c r="A16" s="205" t="s">
        <v>236</v>
      </c>
      <c r="B16" s="98" t="s">
        <v>31</v>
      </c>
      <c r="C16" s="139" t="s">
        <v>30</v>
      </c>
      <c r="D16" s="305"/>
      <c r="E16" s="305">
        <v>1600</v>
      </c>
      <c r="F16" s="305"/>
      <c r="G16" s="305"/>
      <c r="H16" s="305"/>
      <c r="I16" s="206">
        <f t="shared" si="1"/>
        <v>1600</v>
      </c>
    </row>
    <row r="17" spans="1:9" ht="15.75" customHeight="1">
      <c r="A17" s="205" t="s">
        <v>237</v>
      </c>
      <c r="B17" s="98" t="s">
        <v>67</v>
      </c>
      <c r="C17" s="139" t="s">
        <v>238</v>
      </c>
      <c r="D17" s="305"/>
      <c r="E17" s="305"/>
      <c r="F17" s="305"/>
      <c r="G17" s="305"/>
      <c r="H17" s="305"/>
      <c r="I17" s="206">
        <f t="shared" si="1"/>
        <v>0</v>
      </c>
    </row>
    <row r="18" spans="1:9" ht="15.75" customHeight="1">
      <c r="A18" s="205" t="s">
        <v>239</v>
      </c>
      <c r="B18" s="98" t="s">
        <v>33</v>
      </c>
      <c r="C18" s="139" t="s">
        <v>32</v>
      </c>
      <c r="D18" s="305">
        <v>528904.34</v>
      </c>
      <c r="E18" s="305">
        <v>390148.55</v>
      </c>
      <c r="F18" s="305"/>
      <c r="G18" s="305">
        <v>182353.08</v>
      </c>
      <c r="H18" s="305">
        <v>16671</v>
      </c>
      <c r="I18" s="206">
        <f t="shared" si="1"/>
        <v>1118076.97</v>
      </c>
    </row>
    <row r="19" spans="1:9" ht="15.75" customHeight="1">
      <c r="A19" s="205" t="s">
        <v>240</v>
      </c>
      <c r="B19" s="98" t="s">
        <v>35</v>
      </c>
      <c r="C19" s="139" t="s">
        <v>34</v>
      </c>
      <c r="D19" s="305">
        <v>1733607</v>
      </c>
      <c r="E19" s="305">
        <v>246025</v>
      </c>
      <c r="F19" s="305">
        <v>17508</v>
      </c>
      <c r="G19" s="305">
        <v>1555909</v>
      </c>
      <c r="H19" s="305">
        <v>9000</v>
      </c>
      <c r="I19" s="206">
        <f t="shared" si="1"/>
        <v>3562049</v>
      </c>
    </row>
    <row r="20" spans="1:9" ht="15.75" customHeight="1">
      <c r="A20" s="205" t="s">
        <v>241</v>
      </c>
      <c r="B20" s="98" t="s">
        <v>37</v>
      </c>
      <c r="C20" s="139" t="s">
        <v>36</v>
      </c>
      <c r="D20" s="305">
        <v>519308</v>
      </c>
      <c r="E20" s="305">
        <v>18530</v>
      </c>
      <c r="F20" s="305">
        <v>5953.48</v>
      </c>
      <c r="G20" s="305">
        <v>478675</v>
      </c>
      <c r="H20" s="305"/>
      <c r="I20" s="206">
        <f t="shared" si="1"/>
        <v>1022466.48</v>
      </c>
    </row>
    <row r="21" spans="1:9" ht="15.75" customHeight="1">
      <c r="A21" s="205" t="s">
        <v>242</v>
      </c>
      <c r="B21" s="98" t="s">
        <v>125</v>
      </c>
      <c r="C21" s="139" t="s">
        <v>38</v>
      </c>
      <c r="D21" s="305">
        <v>4582</v>
      </c>
      <c r="E21" s="305">
        <v>231</v>
      </c>
      <c r="F21" s="305"/>
      <c r="G21" s="305">
        <v>5913</v>
      </c>
      <c r="H21" s="305"/>
      <c r="I21" s="206">
        <f t="shared" si="1"/>
        <v>10726</v>
      </c>
    </row>
    <row r="22" spans="1:9" ht="15.75" customHeight="1">
      <c r="A22" s="205" t="s">
        <v>243</v>
      </c>
      <c r="B22" s="98" t="s">
        <v>40</v>
      </c>
      <c r="C22" s="139" t="s">
        <v>39</v>
      </c>
      <c r="D22" s="305">
        <v>56225</v>
      </c>
      <c r="E22" s="305"/>
      <c r="F22" s="305"/>
      <c r="G22" s="305">
        <v>18455</v>
      </c>
      <c r="H22" s="305"/>
      <c r="I22" s="206">
        <f t="shared" si="1"/>
        <v>74680</v>
      </c>
    </row>
    <row r="23" spans="1:9" ht="15.75" customHeight="1">
      <c r="A23" s="205" t="s">
        <v>244</v>
      </c>
      <c r="B23" s="98" t="s">
        <v>126</v>
      </c>
      <c r="C23" s="139" t="s">
        <v>41</v>
      </c>
      <c r="D23" s="305"/>
      <c r="E23" s="305"/>
      <c r="F23" s="305"/>
      <c r="G23" s="305"/>
      <c r="H23" s="305"/>
      <c r="I23" s="206">
        <f t="shared" si="1"/>
        <v>0</v>
      </c>
    </row>
    <row r="24" spans="1:9" ht="15.75" customHeight="1">
      <c r="A24" s="205" t="s">
        <v>245</v>
      </c>
      <c r="B24" s="98" t="s">
        <v>43</v>
      </c>
      <c r="C24" s="139" t="s">
        <v>42</v>
      </c>
      <c r="D24" s="305"/>
      <c r="E24" s="305"/>
      <c r="F24" s="305"/>
      <c r="G24" s="305"/>
      <c r="H24" s="305"/>
      <c r="I24" s="206">
        <f t="shared" si="1"/>
        <v>0</v>
      </c>
    </row>
    <row r="25" spans="1:9" ht="15.75" customHeight="1">
      <c r="A25" s="205" t="s">
        <v>246</v>
      </c>
      <c r="B25" s="98" t="s">
        <v>45</v>
      </c>
      <c r="C25" s="139" t="s">
        <v>44</v>
      </c>
      <c r="D25" s="305">
        <v>2242</v>
      </c>
      <c r="E25" s="305"/>
      <c r="F25" s="305"/>
      <c r="G25" s="305"/>
      <c r="H25" s="305"/>
      <c r="I25" s="206">
        <f t="shared" si="1"/>
        <v>2242</v>
      </c>
    </row>
    <row r="26" spans="1:9" ht="15.75" customHeight="1">
      <c r="A26" s="205" t="s">
        <v>247</v>
      </c>
      <c r="B26" s="98" t="s">
        <v>127</v>
      </c>
      <c r="C26" s="139" t="s">
        <v>46</v>
      </c>
      <c r="D26" s="305"/>
      <c r="E26" s="305"/>
      <c r="F26" s="305"/>
      <c r="G26" s="305"/>
      <c r="H26" s="305"/>
      <c r="I26" s="206">
        <f t="shared" si="1"/>
        <v>0</v>
      </c>
    </row>
    <row r="27" spans="1:9" ht="15.75" customHeight="1">
      <c r="A27" s="205" t="s">
        <v>248</v>
      </c>
      <c r="B27" s="98" t="s">
        <v>48</v>
      </c>
      <c r="C27" s="139" t="s">
        <v>47</v>
      </c>
      <c r="D27" s="305"/>
      <c r="E27" s="305"/>
      <c r="F27" s="305"/>
      <c r="G27" s="305"/>
      <c r="H27" s="305"/>
      <c r="I27" s="206">
        <f t="shared" si="1"/>
        <v>0</v>
      </c>
    </row>
    <row r="28" spans="1:9" ht="15.75" customHeight="1">
      <c r="A28" s="205" t="s">
        <v>249</v>
      </c>
      <c r="B28" s="98" t="s">
        <v>128</v>
      </c>
      <c r="C28" s="139" t="s">
        <v>49</v>
      </c>
      <c r="D28" s="305"/>
      <c r="E28" s="305"/>
      <c r="F28" s="305"/>
      <c r="G28" s="305"/>
      <c r="H28" s="305"/>
      <c r="I28" s="206">
        <f t="shared" si="1"/>
        <v>0</v>
      </c>
    </row>
    <row r="29" spans="1:9" ht="15.75" customHeight="1">
      <c r="A29" s="205" t="s">
        <v>250</v>
      </c>
      <c r="B29" s="98" t="s">
        <v>54</v>
      </c>
      <c r="C29" s="139" t="s">
        <v>50</v>
      </c>
      <c r="D29" s="305"/>
      <c r="E29" s="305"/>
      <c r="F29" s="305"/>
      <c r="G29" s="305"/>
      <c r="H29" s="305"/>
      <c r="I29" s="206">
        <f t="shared" si="1"/>
        <v>0</v>
      </c>
    </row>
    <row r="30" spans="1:9" ht="15.75" customHeight="1">
      <c r="A30" s="205" t="s">
        <v>251</v>
      </c>
      <c r="B30" s="98" t="s">
        <v>62</v>
      </c>
      <c r="C30" s="139" t="s">
        <v>51</v>
      </c>
      <c r="D30" s="305"/>
      <c r="E30" s="305"/>
      <c r="F30" s="305"/>
      <c r="G30" s="305"/>
      <c r="H30" s="305"/>
      <c r="I30" s="206">
        <f t="shared" si="1"/>
        <v>0</v>
      </c>
    </row>
    <row r="31" spans="1:9" ht="15.75" customHeight="1">
      <c r="A31" s="205" t="s">
        <v>252</v>
      </c>
      <c r="B31" s="98" t="s">
        <v>56</v>
      </c>
      <c r="C31" s="139" t="s">
        <v>129</v>
      </c>
      <c r="D31" s="305"/>
      <c r="E31" s="305"/>
      <c r="F31" s="305"/>
      <c r="G31" s="305"/>
      <c r="H31" s="305"/>
      <c r="I31" s="206">
        <f t="shared" si="1"/>
        <v>0</v>
      </c>
    </row>
    <row r="32" spans="1:9" ht="15.75" customHeight="1">
      <c r="A32" s="205" t="s">
        <v>253</v>
      </c>
      <c r="B32" s="98" t="s">
        <v>130</v>
      </c>
      <c r="C32" s="139" t="s">
        <v>55</v>
      </c>
      <c r="D32" s="305"/>
      <c r="E32" s="305"/>
      <c r="F32" s="305"/>
      <c r="G32" s="305"/>
      <c r="H32" s="305"/>
      <c r="I32" s="206">
        <f t="shared" si="1"/>
        <v>0</v>
      </c>
    </row>
    <row r="33" spans="1:9" ht="15.75" customHeight="1">
      <c r="A33" s="205" t="s">
        <v>254</v>
      </c>
      <c r="B33" s="98" t="s">
        <v>131</v>
      </c>
      <c r="C33" s="139" t="s">
        <v>58</v>
      </c>
      <c r="D33" s="305">
        <v>759716.7</v>
      </c>
      <c r="E33" s="305"/>
      <c r="F33" s="305"/>
      <c r="G33" s="305">
        <v>650025.19</v>
      </c>
      <c r="H33" s="305"/>
      <c r="I33" s="206">
        <f t="shared" si="1"/>
        <v>1409741.89</v>
      </c>
    </row>
    <row r="34" spans="1:9" ht="15.75" customHeight="1">
      <c r="A34" s="205" t="s">
        <v>255</v>
      </c>
      <c r="B34" s="98" t="s">
        <v>256</v>
      </c>
      <c r="C34" s="139" t="s">
        <v>59</v>
      </c>
      <c r="D34" s="305"/>
      <c r="E34" s="305"/>
      <c r="F34" s="305"/>
      <c r="G34" s="305"/>
      <c r="H34" s="305"/>
      <c r="I34" s="206">
        <f t="shared" si="1"/>
        <v>0</v>
      </c>
    </row>
    <row r="35" spans="1:9" ht="15.75" customHeight="1">
      <c r="A35" s="205" t="s">
        <v>257</v>
      </c>
      <c r="B35" s="98" t="s">
        <v>258</v>
      </c>
      <c r="C35" s="139" t="s">
        <v>60</v>
      </c>
      <c r="D35" s="305"/>
      <c r="E35" s="305"/>
      <c r="F35" s="305"/>
      <c r="G35" s="305"/>
      <c r="H35" s="305"/>
      <c r="I35" s="206">
        <f t="shared" si="1"/>
        <v>0</v>
      </c>
    </row>
    <row r="36" spans="1:9" ht="15.75" customHeight="1">
      <c r="A36" s="205" t="s">
        <v>259</v>
      </c>
      <c r="B36" s="98" t="s">
        <v>132</v>
      </c>
      <c r="C36" s="139" t="s">
        <v>61</v>
      </c>
      <c r="D36" s="305"/>
      <c r="E36" s="305"/>
      <c r="F36" s="305"/>
      <c r="G36" s="305"/>
      <c r="H36" s="305"/>
      <c r="I36" s="206">
        <f t="shared" si="1"/>
        <v>0</v>
      </c>
    </row>
    <row r="37" spans="1:9" ht="15.75" customHeight="1">
      <c r="A37" s="205" t="s">
        <v>260</v>
      </c>
      <c r="B37" s="98" t="s">
        <v>133</v>
      </c>
      <c r="C37" s="139" t="s">
        <v>134</v>
      </c>
      <c r="D37" s="305"/>
      <c r="E37" s="305"/>
      <c r="F37" s="305"/>
      <c r="G37" s="305"/>
      <c r="H37" s="305"/>
      <c r="I37" s="206">
        <f t="shared" si="1"/>
        <v>0</v>
      </c>
    </row>
    <row r="38" spans="1:9" ht="15.75" customHeight="1">
      <c r="A38" s="205" t="s">
        <v>261</v>
      </c>
      <c r="B38" s="98" t="s">
        <v>135</v>
      </c>
      <c r="C38" s="139" t="s">
        <v>63</v>
      </c>
      <c r="D38" s="305"/>
      <c r="E38" s="305"/>
      <c r="F38" s="305"/>
      <c r="G38" s="305"/>
      <c r="H38" s="305"/>
      <c r="I38" s="206">
        <f t="shared" si="1"/>
        <v>0</v>
      </c>
    </row>
    <row r="39" spans="1:9" ht="15.75" customHeight="1">
      <c r="A39" s="205" t="s">
        <v>262</v>
      </c>
      <c r="B39" s="98" t="s">
        <v>263</v>
      </c>
      <c r="C39" s="139" t="s">
        <v>136</v>
      </c>
      <c r="D39" s="305"/>
      <c r="E39" s="305"/>
      <c r="F39" s="305"/>
      <c r="G39" s="305"/>
      <c r="H39" s="305"/>
      <c r="I39" s="206">
        <f t="shared" si="1"/>
        <v>0</v>
      </c>
    </row>
    <row r="40" spans="1:9" ht="15.75" customHeight="1">
      <c r="A40" s="205" t="s">
        <v>264</v>
      </c>
      <c r="B40" s="98" t="s">
        <v>265</v>
      </c>
      <c r="C40" s="139" t="s">
        <v>266</v>
      </c>
      <c r="D40" s="305">
        <v>106054.41</v>
      </c>
      <c r="E40" s="305"/>
      <c r="F40" s="305"/>
      <c r="G40" s="305"/>
      <c r="H40" s="305"/>
      <c r="I40" s="206">
        <f t="shared" si="1"/>
        <v>106054.41</v>
      </c>
    </row>
    <row r="41" spans="1:9" ht="15.75" customHeight="1">
      <c r="A41" s="205" t="s">
        <v>267</v>
      </c>
      <c r="B41" s="98" t="s">
        <v>137</v>
      </c>
      <c r="C41" s="139" t="s">
        <v>57</v>
      </c>
      <c r="D41" s="305">
        <v>91915.23</v>
      </c>
      <c r="E41" s="308"/>
      <c r="F41" s="308"/>
      <c r="G41" s="308">
        <v>42151.56</v>
      </c>
      <c r="H41" s="308">
        <v>0.08</v>
      </c>
      <c r="I41" s="206">
        <f t="shared" si="1"/>
        <v>134066.86999999997</v>
      </c>
    </row>
    <row r="42" spans="1:9" ht="15.75" customHeight="1">
      <c r="A42" s="203" t="s">
        <v>268</v>
      </c>
      <c r="B42" s="97" t="s">
        <v>138</v>
      </c>
      <c r="C42" s="138" t="s">
        <v>176</v>
      </c>
      <c r="D42" s="307">
        <f>SUM(D43:D47)</f>
        <v>876.28</v>
      </c>
      <c r="E42" s="307">
        <f>SUM(E43:E47)</f>
        <v>0</v>
      </c>
      <c r="F42" s="307">
        <f>SUM(F43:F47)</f>
        <v>0</v>
      </c>
      <c r="G42" s="307">
        <f>SUM(G43:G47)</f>
        <v>0</v>
      </c>
      <c r="H42" s="307">
        <f>SUM(H43:H47)</f>
        <v>0</v>
      </c>
      <c r="I42" s="204">
        <f aca="true" t="shared" si="2" ref="I42:I54">SUM(D42:H42)</f>
        <v>876.28</v>
      </c>
    </row>
    <row r="43" spans="1:9" ht="15.75" customHeight="1">
      <c r="A43" s="205" t="s">
        <v>269</v>
      </c>
      <c r="B43" s="98" t="s">
        <v>270</v>
      </c>
      <c r="C43" s="139" t="s">
        <v>271</v>
      </c>
      <c r="D43" s="305"/>
      <c r="E43" s="308"/>
      <c r="F43" s="308"/>
      <c r="G43" s="308"/>
      <c r="H43" s="308"/>
      <c r="I43" s="206">
        <f t="shared" si="2"/>
        <v>0</v>
      </c>
    </row>
    <row r="44" spans="1:9" ht="15.75" customHeight="1">
      <c r="A44" s="205" t="s">
        <v>272</v>
      </c>
      <c r="B44" s="98" t="s">
        <v>52</v>
      </c>
      <c r="C44" s="139" t="s">
        <v>139</v>
      </c>
      <c r="D44" s="305"/>
      <c r="E44" s="305"/>
      <c r="F44" s="305"/>
      <c r="G44" s="305"/>
      <c r="H44" s="305"/>
      <c r="I44" s="206">
        <f t="shared" si="2"/>
        <v>0</v>
      </c>
    </row>
    <row r="45" spans="1:9" ht="15.75" customHeight="1">
      <c r="A45" s="205" t="s">
        <v>273</v>
      </c>
      <c r="B45" s="98" t="s">
        <v>53</v>
      </c>
      <c r="C45" s="139" t="s">
        <v>140</v>
      </c>
      <c r="D45" s="305">
        <v>876.28</v>
      </c>
      <c r="E45" s="305"/>
      <c r="F45" s="305"/>
      <c r="G45" s="305"/>
      <c r="H45" s="305"/>
      <c r="I45" s="206">
        <f t="shared" si="2"/>
        <v>876.28</v>
      </c>
    </row>
    <row r="46" spans="1:9" ht="12.75">
      <c r="A46" s="205" t="s">
        <v>274</v>
      </c>
      <c r="B46" s="98" t="s">
        <v>141</v>
      </c>
      <c r="C46" s="139" t="s">
        <v>142</v>
      </c>
      <c r="D46" s="305"/>
      <c r="E46" s="305"/>
      <c r="F46" s="305"/>
      <c r="G46" s="305"/>
      <c r="H46" s="305"/>
      <c r="I46" s="206">
        <f t="shared" si="2"/>
        <v>0</v>
      </c>
    </row>
    <row r="47" spans="1:9" ht="15.75" customHeight="1">
      <c r="A47" s="205" t="s">
        <v>275</v>
      </c>
      <c r="B47" s="98" t="s">
        <v>143</v>
      </c>
      <c r="C47" s="139" t="s">
        <v>144</v>
      </c>
      <c r="D47" s="305"/>
      <c r="E47" s="305"/>
      <c r="F47" s="305"/>
      <c r="G47" s="305"/>
      <c r="H47" s="305"/>
      <c r="I47" s="206">
        <f t="shared" si="2"/>
        <v>0</v>
      </c>
    </row>
    <row r="48" spans="1:9" ht="12.75">
      <c r="A48" s="203" t="s">
        <v>276</v>
      </c>
      <c r="B48" s="97" t="s">
        <v>198</v>
      </c>
      <c r="C48" s="138" t="s">
        <v>176</v>
      </c>
      <c r="D48" s="307">
        <f>SUM(D49:D50)</f>
        <v>0</v>
      </c>
      <c r="E48" s="307">
        <f>SUM(E49:E50)</f>
        <v>0</v>
      </c>
      <c r="F48" s="307">
        <f>SUM(F49:F50)</f>
        <v>0</v>
      </c>
      <c r="G48" s="307">
        <f>SUM(G49:G50)</f>
        <v>0</v>
      </c>
      <c r="H48" s="307">
        <f>SUM(H49:H50)</f>
        <v>0</v>
      </c>
      <c r="I48" s="204">
        <f t="shared" si="2"/>
        <v>0</v>
      </c>
    </row>
    <row r="49" spans="1:9" ht="25.5">
      <c r="A49" s="205" t="s">
        <v>277</v>
      </c>
      <c r="B49" s="98" t="s">
        <v>278</v>
      </c>
      <c r="C49" s="139" t="s">
        <v>145</v>
      </c>
      <c r="D49" s="305"/>
      <c r="E49" s="308"/>
      <c r="F49" s="308"/>
      <c r="G49" s="308"/>
      <c r="H49" s="308"/>
      <c r="I49" s="206">
        <f t="shared" si="2"/>
        <v>0</v>
      </c>
    </row>
    <row r="50" spans="1:9" ht="25.5">
      <c r="A50" s="205" t="s">
        <v>279</v>
      </c>
      <c r="B50" s="98" t="s">
        <v>280</v>
      </c>
      <c r="C50" s="139" t="s">
        <v>146</v>
      </c>
      <c r="D50" s="305"/>
      <c r="E50" s="305"/>
      <c r="F50" s="305"/>
      <c r="G50" s="305"/>
      <c r="H50" s="305"/>
      <c r="I50" s="206">
        <f t="shared" si="2"/>
        <v>0</v>
      </c>
    </row>
    <row r="51" spans="1:9" ht="15.75" customHeight="1">
      <c r="A51" s="203" t="s">
        <v>281</v>
      </c>
      <c r="B51" s="97" t="s">
        <v>76</v>
      </c>
      <c r="C51" s="138" t="s">
        <v>176</v>
      </c>
      <c r="D51" s="307">
        <f>SUM(D52:D53)</f>
        <v>0</v>
      </c>
      <c r="E51" s="307">
        <f>SUM(E52:E53)</f>
        <v>0</v>
      </c>
      <c r="F51" s="307">
        <f>SUM(F52:F53)</f>
        <v>0</v>
      </c>
      <c r="G51" s="307">
        <f>SUM(G52:G53)</f>
        <v>84740</v>
      </c>
      <c r="H51" s="307">
        <f>SUM(H52:H53)</f>
        <v>0</v>
      </c>
      <c r="I51" s="204">
        <f t="shared" si="2"/>
        <v>84740</v>
      </c>
    </row>
    <row r="52" spans="1:9" ht="15.75" customHeight="1">
      <c r="A52" s="205" t="s">
        <v>282</v>
      </c>
      <c r="B52" s="98" t="s">
        <v>76</v>
      </c>
      <c r="C52" s="139" t="s">
        <v>75</v>
      </c>
      <c r="D52" s="305"/>
      <c r="E52" s="305"/>
      <c r="F52" s="305"/>
      <c r="G52" s="305">
        <v>84740</v>
      </c>
      <c r="H52" s="305"/>
      <c r="I52" s="206">
        <f t="shared" si="2"/>
        <v>84740</v>
      </c>
    </row>
    <row r="53" spans="1:9" ht="15.75" customHeight="1">
      <c r="A53" s="205" t="s">
        <v>283</v>
      </c>
      <c r="B53" s="98" t="s">
        <v>78</v>
      </c>
      <c r="C53" s="139" t="s">
        <v>77</v>
      </c>
      <c r="D53" s="308"/>
      <c r="E53" s="308"/>
      <c r="F53" s="308"/>
      <c r="G53" s="308"/>
      <c r="H53" s="308"/>
      <c r="I53" s="206">
        <f t="shared" si="2"/>
        <v>0</v>
      </c>
    </row>
    <row r="54" spans="1:9" ht="15.75" customHeight="1">
      <c r="A54" s="202" t="s">
        <v>147</v>
      </c>
      <c r="B54" s="96" t="s">
        <v>199</v>
      </c>
      <c r="C54" s="137" t="s">
        <v>176</v>
      </c>
      <c r="D54" s="309">
        <f>D55+D70+D76</f>
        <v>6204790.91</v>
      </c>
      <c r="E54" s="309">
        <f>E55+E70+E76</f>
        <v>956785.56</v>
      </c>
      <c r="F54" s="309">
        <f>F55+F70+F76</f>
        <v>56206.61</v>
      </c>
      <c r="G54" s="309">
        <f>G55+G70+G76</f>
        <v>5902001.2700000005</v>
      </c>
      <c r="H54" s="309">
        <f>H55+H70+H76</f>
        <v>388336.46</v>
      </c>
      <c r="I54" s="207">
        <f t="shared" si="2"/>
        <v>13508120.810000002</v>
      </c>
    </row>
    <row r="55" spans="1:9" ht="15.75" customHeight="1">
      <c r="A55" s="203" t="s">
        <v>284</v>
      </c>
      <c r="B55" s="97" t="s">
        <v>148</v>
      </c>
      <c r="C55" s="138" t="s">
        <v>176</v>
      </c>
      <c r="D55" s="307">
        <f aca="true" t="shared" si="3" ref="D55:I55">SUM(D56:D69)</f>
        <v>6204790.91</v>
      </c>
      <c r="E55" s="307">
        <f t="shared" si="3"/>
        <v>956785.56</v>
      </c>
      <c r="F55" s="307">
        <f t="shared" si="3"/>
        <v>56206.61</v>
      </c>
      <c r="G55" s="307">
        <f t="shared" si="3"/>
        <v>5902001.2700000005</v>
      </c>
      <c r="H55" s="307">
        <f t="shared" si="3"/>
        <v>387660.46</v>
      </c>
      <c r="I55" s="204">
        <f t="shared" si="3"/>
        <v>13507444.810000002</v>
      </c>
    </row>
    <row r="56" spans="1:9" ht="15.75" customHeight="1">
      <c r="A56" s="205" t="s">
        <v>285</v>
      </c>
      <c r="B56" s="98" t="s">
        <v>149</v>
      </c>
      <c r="C56" s="139" t="s">
        <v>64</v>
      </c>
      <c r="D56" s="305"/>
      <c r="E56" s="305">
        <v>475994.25</v>
      </c>
      <c r="F56" s="305"/>
      <c r="G56" s="305"/>
      <c r="H56" s="305">
        <v>23534.26</v>
      </c>
      <c r="I56" s="206">
        <f>SUM(D56:H56)</f>
        <v>499528.51</v>
      </c>
    </row>
    <row r="57" spans="1:9" ht="15.75" customHeight="1">
      <c r="A57" s="205" t="s">
        <v>286</v>
      </c>
      <c r="B57" s="98" t="s">
        <v>150</v>
      </c>
      <c r="C57" s="139" t="s">
        <v>65</v>
      </c>
      <c r="D57" s="305">
        <v>6158468.94</v>
      </c>
      <c r="E57" s="305">
        <v>213595.79</v>
      </c>
      <c r="F57" s="305"/>
      <c r="G57" s="305">
        <v>5529644.4</v>
      </c>
      <c r="H57" s="305">
        <v>8617.88</v>
      </c>
      <c r="I57" s="206">
        <f aca="true" t="shared" si="4" ref="I57:I69">SUM(D57:H57)</f>
        <v>11910327.010000002</v>
      </c>
    </row>
    <row r="58" spans="1:9" ht="15.75" customHeight="1">
      <c r="A58" s="205" t="s">
        <v>287</v>
      </c>
      <c r="B58" s="98" t="s">
        <v>151</v>
      </c>
      <c r="C58" s="139" t="s">
        <v>152</v>
      </c>
      <c r="D58" s="305"/>
      <c r="E58" s="305"/>
      <c r="F58" s="305"/>
      <c r="G58" s="305"/>
      <c r="H58" s="305">
        <v>355500</v>
      </c>
      <c r="I58" s="206">
        <f t="shared" si="4"/>
        <v>355500</v>
      </c>
    </row>
    <row r="59" spans="1:9" ht="15.75" customHeight="1">
      <c r="A59" s="205" t="s">
        <v>288</v>
      </c>
      <c r="B59" s="98" t="s">
        <v>153</v>
      </c>
      <c r="C59" s="139" t="s">
        <v>66</v>
      </c>
      <c r="D59" s="305">
        <v>46321.97</v>
      </c>
      <c r="E59" s="305">
        <v>233485.81</v>
      </c>
      <c r="F59" s="305"/>
      <c r="G59" s="305">
        <v>177351.62</v>
      </c>
      <c r="H59" s="305"/>
      <c r="I59" s="206">
        <f t="shared" si="4"/>
        <v>457159.4</v>
      </c>
    </row>
    <row r="60" spans="1:9" ht="15.75" customHeight="1">
      <c r="A60" s="205" t="s">
        <v>289</v>
      </c>
      <c r="B60" s="98" t="s">
        <v>154</v>
      </c>
      <c r="C60" s="139" t="s">
        <v>155</v>
      </c>
      <c r="D60" s="305"/>
      <c r="E60" s="305"/>
      <c r="F60" s="305"/>
      <c r="G60" s="305"/>
      <c r="H60" s="305"/>
      <c r="I60" s="206">
        <f t="shared" si="4"/>
        <v>0</v>
      </c>
    </row>
    <row r="61" spans="1:9" ht="15.75" customHeight="1">
      <c r="A61" s="205" t="s">
        <v>290</v>
      </c>
      <c r="B61" s="98" t="s">
        <v>48</v>
      </c>
      <c r="C61" s="139" t="s">
        <v>68</v>
      </c>
      <c r="D61" s="305"/>
      <c r="E61" s="305"/>
      <c r="F61" s="305"/>
      <c r="G61" s="305"/>
      <c r="H61" s="305"/>
      <c r="I61" s="206">
        <f t="shared" si="4"/>
        <v>0</v>
      </c>
    </row>
    <row r="62" spans="1:9" ht="15.75" customHeight="1">
      <c r="A62" s="205" t="s">
        <v>291</v>
      </c>
      <c r="B62" s="98" t="s">
        <v>128</v>
      </c>
      <c r="C62" s="139" t="s">
        <v>69</v>
      </c>
      <c r="D62" s="305"/>
      <c r="E62" s="305"/>
      <c r="F62" s="305"/>
      <c r="G62" s="305"/>
      <c r="H62" s="305"/>
      <c r="I62" s="206">
        <f t="shared" si="4"/>
        <v>0</v>
      </c>
    </row>
    <row r="63" spans="1:9" ht="15.75" customHeight="1">
      <c r="A63" s="205" t="s">
        <v>292</v>
      </c>
      <c r="B63" s="98" t="s">
        <v>293</v>
      </c>
      <c r="C63" s="139" t="s">
        <v>70</v>
      </c>
      <c r="D63" s="305"/>
      <c r="E63" s="305"/>
      <c r="F63" s="305"/>
      <c r="G63" s="305"/>
      <c r="H63" s="305"/>
      <c r="I63" s="206">
        <f t="shared" si="4"/>
        <v>0</v>
      </c>
    </row>
    <row r="64" spans="1:9" ht="15.75" customHeight="1">
      <c r="A64" s="205" t="s">
        <v>294</v>
      </c>
      <c r="B64" s="98" t="s">
        <v>156</v>
      </c>
      <c r="C64" s="139" t="s">
        <v>71</v>
      </c>
      <c r="D64" s="305"/>
      <c r="E64" s="305"/>
      <c r="F64" s="305"/>
      <c r="G64" s="305"/>
      <c r="H64" s="305"/>
      <c r="I64" s="206">
        <f t="shared" si="4"/>
        <v>0</v>
      </c>
    </row>
    <row r="65" spans="1:9" ht="25.5">
      <c r="A65" s="205" t="s">
        <v>295</v>
      </c>
      <c r="B65" s="98" t="s">
        <v>157</v>
      </c>
      <c r="C65" s="139" t="s">
        <v>72</v>
      </c>
      <c r="D65" s="305"/>
      <c r="E65" s="305"/>
      <c r="F65" s="305"/>
      <c r="G65" s="305"/>
      <c r="H65" s="305"/>
      <c r="I65" s="206">
        <f t="shared" si="4"/>
        <v>0</v>
      </c>
    </row>
    <row r="66" spans="1:9" ht="25.5">
      <c r="A66" s="205" t="s">
        <v>296</v>
      </c>
      <c r="B66" s="98" t="s">
        <v>158</v>
      </c>
      <c r="C66" s="139" t="s">
        <v>159</v>
      </c>
      <c r="D66" s="305"/>
      <c r="E66" s="305"/>
      <c r="F66" s="305"/>
      <c r="G66" s="305"/>
      <c r="H66" s="305"/>
      <c r="I66" s="206">
        <f t="shared" si="4"/>
        <v>0</v>
      </c>
    </row>
    <row r="67" spans="1:9" ht="15.75" customHeight="1">
      <c r="A67" s="205" t="s">
        <v>297</v>
      </c>
      <c r="B67" s="98" t="s">
        <v>160</v>
      </c>
      <c r="C67" s="139" t="s">
        <v>161</v>
      </c>
      <c r="D67" s="305"/>
      <c r="E67" s="305"/>
      <c r="F67" s="305"/>
      <c r="G67" s="305"/>
      <c r="H67" s="305"/>
      <c r="I67" s="206">
        <f t="shared" si="4"/>
        <v>0</v>
      </c>
    </row>
    <row r="68" spans="1:9" ht="15.75" customHeight="1">
      <c r="A68" s="205" t="s">
        <v>298</v>
      </c>
      <c r="B68" s="98" t="s">
        <v>162</v>
      </c>
      <c r="C68" s="139" t="s">
        <v>163</v>
      </c>
      <c r="D68" s="305"/>
      <c r="E68" s="305"/>
      <c r="F68" s="305"/>
      <c r="G68" s="305"/>
      <c r="H68" s="305"/>
      <c r="I68" s="206">
        <f t="shared" si="4"/>
        <v>0</v>
      </c>
    </row>
    <row r="69" spans="1:9" ht="15.75" customHeight="1">
      <c r="A69" s="205" t="s">
        <v>299</v>
      </c>
      <c r="B69" s="98" t="s">
        <v>164</v>
      </c>
      <c r="C69" s="139" t="s">
        <v>74</v>
      </c>
      <c r="D69" s="305"/>
      <c r="E69" s="305">
        <v>33709.71</v>
      </c>
      <c r="F69" s="305">
        <v>56206.61</v>
      </c>
      <c r="G69" s="305">
        <v>195005.25</v>
      </c>
      <c r="H69" s="305">
        <v>8.32</v>
      </c>
      <c r="I69" s="206">
        <f t="shared" si="4"/>
        <v>284929.89</v>
      </c>
    </row>
    <row r="70" spans="1:10" ht="15.75" customHeight="1">
      <c r="A70" s="203" t="s">
        <v>300</v>
      </c>
      <c r="B70" s="97" t="s">
        <v>165</v>
      </c>
      <c r="C70" s="138" t="s">
        <v>176</v>
      </c>
      <c r="D70" s="307">
        <f aca="true" t="shared" si="5" ref="D70:I70">SUM(D71:D75)</f>
        <v>0</v>
      </c>
      <c r="E70" s="307">
        <f t="shared" si="5"/>
        <v>0</v>
      </c>
      <c r="F70" s="307">
        <f t="shared" si="5"/>
        <v>0</v>
      </c>
      <c r="G70" s="307">
        <f t="shared" si="5"/>
        <v>0</v>
      </c>
      <c r="H70" s="307">
        <f t="shared" si="5"/>
        <v>676</v>
      </c>
      <c r="I70" s="204">
        <f t="shared" si="5"/>
        <v>676</v>
      </c>
      <c r="J70" s="113"/>
    </row>
    <row r="71" spans="1:9" ht="15.75" customHeight="1">
      <c r="A71" s="205" t="s">
        <v>301</v>
      </c>
      <c r="B71" s="98" t="s">
        <v>302</v>
      </c>
      <c r="C71" s="139" t="s">
        <v>303</v>
      </c>
      <c r="D71" s="305"/>
      <c r="E71" s="305"/>
      <c r="F71" s="305"/>
      <c r="G71" s="305"/>
      <c r="H71" s="305"/>
      <c r="I71" s="206">
        <f aca="true" t="shared" si="6" ref="I71:I78">SUM(D71:H71)</f>
        <v>0</v>
      </c>
    </row>
    <row r="72" spans="1:9" ht="15.75" customHeight="1">
      <c r="A72" s="205" t="s">
        <v>304</v>
      </c>
      <c r="B72" s="98" t="s">
        <v>52</v>
      </c>
      <c r="C72" s="139" t="s">
        <v>166</v>
      </c>
      <c r="D72" s="305"/>
      <c r="E72" s="305"/>
      <c r="F72" s="305"/>
      <c r="G72" s="305"/>
      <c r="H72" s="305">
        <v>676</v>
      </c>
      <c r="I72" s="206">
        <f t="shared" si="6"/>
        <v>676</v>
      </c>
    </row>
    <row r="73" spans="1:9" ht="12.75">
      <c r="A73" s="205" t="s">
        <v>305</v>
      </c>
      <c r="B73" s="98" t="s">
        <v>73</v>
      </c>
      <c r="C73" s="139" t="s">
        <v>167</v>
      </c>
      <c r="D73" s="305"/>
      <c r="E73" s="305"/>
      <c r="F73" s="305"/>
      <c r="G73" s="305"/>
      <c r="H73" s="305"/>
      <c r="I73" s="206">
        <f t="shared" si="6"/>
        <v>0</v>
      </c>
    </row>
    <row r="74" spans="1:9" ht="12.75">
      <c r="A74" s="205" t="s">
        <v>306</v>
      </c>
      <c r="B74" s="98" t="s">
        <v>168</v>
      </c>
      <c r="C74" s="139" t="s">
        <v>169</v>
      </c>
      <c r="D74" s="305"/>
      <c r="E74" s="305"/>
      <c r="F74" s="305"/>
      <c r="G74" s="305"/>
      <c r="H74" s="305"/>
      <c r="I74" s="206">
        <f t="shared" si="6"/>
        <v>0</v>
      </c>
    </row>
    <row r="75" spans="1:9" ht="12.75">
      <c r="A75" s="205" t="s">
        <v>307</v>
      </c>
      <c r="B75" s="98" t="s">
        <v>170</v>
      </c>
      <c r="C75" s="139" t="s">
        <v>171</v>
      </c>
      <c r="D75" s="305"/>
      <c r="E75" s="305"/>
      <c r="F75" s="305"/>
      <c r="G75" s="305"/>
      <c r="H75" s="305"/>
      <c r="I75" s="206">
        <f t="shared" si="6"/>
        <v>0</v>
      </c>
    </row>
    <row r="76" spans="1:9" ht="12.75">
      <c r="A76" s="203" t="s">
        <v>308</v>
      </c>
      <c r="B76" s="97" t="s">
        <v>200</v>
      </c>
      <c r="C76" s="138" t="s">
        <v>176</v>
      </c>
      <c r="D76" s="307">
        <f>SUM(D77:D78)</f>
        <v>0</v>
      </c>
      <c r="E76" s="307">
        <f>SUM(E77:E78)</f>
        <v>0</v>
      </c>
      <c r="F76" s="307">
        <f>SUM(F77:F78)</f>
        <v>0</v>
      </c>
      <c r="G76" s="307">
        <f>SUM(G77:G78)</f>
        <v>0</v>
      </c>
      <c r="H76" s="307">
        <f>SUM(H77:H78)</f>
        <v>0</v>
      </c>
      <c r="I76" s="204">
        <f t="shared" si="6"/>
        <v>0</v>
      </c>
    </row>
    <row r="77" spans="1:9" ht="25.5">
      <c r="A77" s="205" t="s">
        <v>309</v>
      </c>
      <c r="B77" s="98" t="s">
        <v>310</v>
      </c>
      <c r="C77" s="139" t="s">
        <v>172</v>
      </c>
      <c r="D77" s="305"/>
      <c r="E77" s="308"/>
      <c r="F77" s="308"/>
      <c r="G77" s="308"/>
      <c r="H77" s="308"/>
      <c r="I77" s="206">
        <f t="shared" si="6"/>
        <v>0</v>
      </c>
    </row>
    <row r="78" spans="1:9" ht="25.5">
      <c r="A78" s="205" t="s">
        <v>311</v>
      </c>
      <c r="B78" s="98" t="s">
        <v>312</v>
      </c>
      <c r="C78" s="139" t="s">
        <v>173</v>
      </c>
      <c r="D78" s="305"/>
      <c r="E78" s="305"/>
      <c r="F78" s="305"/>
      <c r="G78" s="305"/>
      <c r="H78" s="305"/>
      <c r="I78" s="206">
        <f t="shared" si="6"/>
        <v>0</v>
      </c>
    </row>
    <row r="79" spans="1:9" ht="12.75">
      <c r="A79" s="202" t="s">
        <v>313</v>
      </c>
      <c r="B79" s="96" t="s">
        <v>174</v>
      </c>
      <c r="C79" s="137" t="s">
        <v>176</v>
      </c>
      <c r="D79" s="309"/>
      <c r="E79" s="309"/>
      <c r="F79" s="309"/>
      <c r="G79" s="309"/>
      <c r="H79" s="309"/>
      <c r="I79" s="207"/>
    </row>
    <row r="80" spans="1:9" ht="12.75">
      <c r="A80" s="205" t="s">
        <v>314</v>
      </c>
      <c r="B80" s="98" t="s">
        <v>175</v>
      </c>
      <c r="C80" s="139" t="s">
        <v>176</v>
      </c>
      <c r="D80" s="305">
        <v>707531.35</v>
      </c>
      <c r="E80" s="305">
        <v>137813.59</v>
      </c>
      <c r="F80" s="305">
        <v>32745.13</v>
      </c>
      <c r="G80" s="305">
        <v>446913.82</v>
      </c>
      <c r="H80" s="305">
        <v>283490.22</v>
      </c>
      <c r="I80" s="206">
        <f>SUM(D80:H80)</f>
        <v>1608494.1099999999</v>
      </c>
    </row>
    <row r="81" spans="1:9" ht="13.5" thickBot="1">
      <c r="A81" s="208" t="s">
        <v>315</v>
      </c>
      <c r="B81" s="209" t="s">
        <v>316</v>
      </c>
      <c r="C81" s="210" t="s">
        <v>176</v>
      </c>
      <c r="D81" s="310">
        <v>707531.35</v>
      </c>
      <c r="E81" s="310">
        <v>137813.59</v>
      </c>
      <c r="F81" s="310">
        <v>32745.13</v>
      </c>
      <c r="G81" s="310">
        <v>362173.82</v>
      </c>
      <c r="H81" s="310">
        <v>283490.22</v>
      </c>
      <c r="I81" s="211">
        <f>SUM(D81:H81)</f>
        <v>1523754.1099999999</v>
      </c>
    </row>
  </sheetData>
  <sheetProtection/>
  <mergeCells count="1">
    <mergeCell ref="A4:B4"/>
  </mergeCells>
  <printOptions horizontalCentered="1"/>
  <pageMargins left="0" right="0" top="0.5905511811023623" bottom="0" header="0.5118110236220472" footer="0.31496062992125984"/>
  <pageSetup fitToHeight="1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97"/>
  <sheetViews>
    <sheetView tabSelected="1" zoomScale="106" zoomScaleNormal="106" zoomScalePageLayoutView="0" workbookViewId="0" topLeftCell="A25">
      <selection activeCell="I47" sqref="I47:J50"/>
    </sheetView>
  </sheetViews>
  <sheetFormatPr defaultColWidth="9.140625" defaultRowHeight="12.75"/>
  <cols>
    <col min="1" max="1" width="2.00390625" style="1" customWidth="1"/>
    <col min="2" max="2" width="25.7109375" style="1" customWidth="1"/>
    <col min="3" max="3" width="6.28125" style="1" customWidth="1"/>
    <col min="4" max="4" width="16.421875" style="1" customWidth="1"/>
    <col min="5" max="5" width="16.28125" style="1" customWidth="1"/>
    <col min="6" max="6" width="16.7109375" style="1" bestFit="1" customWidth="1"/>
    <col min="7" max="7" width="12.00390625" style="1" bestFit="1" customWidth="1"/>
    <col min="8" max="8" width="9.140625" style="1" customWidth="1"/>
    <col min="9" max="9" width="17.8515625" style="1" customWidth="1"/>
    <col min="10" max="10" width="14.421875" style="1" customWidth="1"/>
    <col min="11" max="16384" width="9.140625" style="1" customWidth="1"/>
  </cols>
  <sheetData>
    <row r="1" spans="1:6" ht="15.75">
      <c r="A1" s="106"/>
      <c r="B1" s="106"/>
      <c r="C1" s="106"/>
      <c r="D1" s="106"/>
      <c r="F1" s="107" t="s">
        <v>407</v>
      </c>
    </row>
    <row r="2" spans="1:6" ht="15.75">
      <c r="A2" s="106"/>
      <c r="B2" s="108" t="s">
        <v>469</v>
      </c>
      <c r="C2" s="106"/>
      <c r="D2" s="106"/>
      <c r="E2" s="106"/>
      <c r="F2" s="106"/>
    </row>
    <row r="3" spans="1:6" ht="13.5" thickBot="1">
      <c r="A3" s="106"/>
      <c r="B3" s="106"/>
      <c r="C3" s="106"/>
      <c r="D3" s="106"/>
      <c r="E3" s="109" t="s">
        <v>317</v>
      </c>
      <c r="F3" s="106"/>
    </row>
    <row r="4" spans="1:6" ht="43.5" customHeight="1" thickBot="1">
      <c r="A4" s="106"/>
      <c r="B4" s="880" t="s">
        <v>2</v>
      </c>
      <c r="C4" s="869" t="s">
        <v>12</v>
      </c>
      <c r="D4" s="871" t="s">
        <v>588</v>
      </c>
      <c r="E4" s="872" t="s">
        <v>589</v>
      </c>
      <c r="F4" s="870" t="s">
        <v>590</v>
      </c>
    </row>
    <row r="5" spans="1:6" ht="12.75">
      <c r="A5" s="106"/>
      <c r="B5" s="873"/>
      <c r="C5" s="881"/>
      <c r="D5" s="874">
        <v>1</v>
      </c>
      <c r="E5" s="875">
        <v>2</v>
      </c>
      <c r="F5" s="876">
        <v>3</v>
      </c>
    </row>
    <row r="6" spans="1:6" ht="12.75">
      <c r="A6" s="106"/>
      <c r="B6" s="877" t="s">
        <v>330</v>
      </c>
      <c r="C6" s="56">
        <v>411</v>
      </c>
      <c r="D6" s="428">
        <v>586600.14</v>
      </c>
      <c r="E6" s="345">
        <v>403071.14</v>
      </c>
      <c r="F6" s="423">
        <f aca="true" t="shared" si="0" ref="F6:F14">E6-D6</f>
        <v>-183529</v>
      </c>
    </row>
    <row r="7" spans="1:177" s="20" customFormat="1" ht="12.75">
      <c r="A7" s="110"/>
      <c r="B7" s="877" t="s">
        <v>201</v>
      </c>
      <c r="C7" s="57">
        <v>411</v>
      </c>
      <c r="D7" s="429">
        <v>753283.85</v>
      </c>
      <c r="E7" s="346">
        <v>605421.85</v>
      </c>
      <c r="F7" s="424">
        <f t="shared" si="0"/>
        <v>-147862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s="20" customFormat="1" ht="12.75">
      <c r="A8" s="110"/>
      <c r="B8" s="877" t="s">
        <v>331</v>
      </c>
      <c r="C8" s="57">
        <v>411</v>
      </c>
      <c r="D8" s="429">
        <v>40</v>
      </c>
      <c r="E8" s="346"/>
      <c r="F8" s="424">
        <f t="shared" si="0"/>
        <v>-40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s="20" customFormat="1" ht="12.75">
      <c r="A9" s="110"/>
      <c r="B9" s="877" t="s">
        <v>332</v>
      </c>
      <c r="C9" s="131">
        <v>411</v>
      </c>
      <c r="D9" s="430">
        <v>456804</v>
      </c>
      <c r="E9" s="347">
        <v>1433919.8</v>
      </c>
      <c r="F9" s="425">
        <f t="shared" si="0"/>
        <v>977115.8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s="20" customFormat="1" ht="12.75">
      <c r="A10" s="110"/>
      <c r="B10" s="878" t="s">
        <v>333</v>
      </c>
      <c r="C10" s="131">
        <v>411</v>
      </c>
      <c r="D10" s="430"/>
      <c r="E10" s="347"/>
      <c r="F10" s="425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</row>
    <row r="11" spans="1:177" s="20" customFormat="1" ht="12.75">
      <c r="A11" s="110"/>
      <c r="B11" s="878" t="s">
        <v>334</v>
      </c>
      <c r="C11" s="131">
        <v>411</v>
      </c>
      <c r="D11" s="430">
        <v>647992</v>
      </c>
      <c r="E11" s="347">
        <v>688754</v>
      </c>
      <c r="F11" s="425">
        <f t="shared" si="0"/>
        <v>40762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</row>
    <row r="12" spans="1:177" s="20" customFormat="1" ht="12.75">
      <c r="A12" s="110"/>
      <c r="B12" s="878" t="s">
        <v>202</v>
      </c>
      <c r="C12" s="131">
        <v>411</v>
      </c>
      <c r="D12" s="430">
        <v>715178</v>
      </c>
      <c r="E12" s="347">
        <v>1015893</v>
      </c>
      <c r="F12" s="425">
        <f t="shared" si="0"/>
        <v>300715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</row>
    <row r="13" spans="1:177" s="20" customFormat="1" ht="12.75">
      <c r="A13" s="110"/>
      <c r="B13" s="877" t="s">
        <v>3</v>
      </c>
      <c r="C13" s="131">
        <v>411</v>
      </c>
      <c r="D13" s="430">
        <v>81842.98</v>
      </c>
      <c r="E13" s="347">
        <v>93775.98</v>
      </c>
      <c r="F13" s="425">
        <f t="shared" si="0"/>
        <v>11933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</row>
    <row r="14" spans="1:177" s="20" customFormat="1" ht="13.5" thickBot="1">
      <c r="A14" s="110"/>
      <c r="B14" s="877" t="s">
        <v>443</v>
      </c>
      <c r="C14" s="131">
        <v>411</v>
      </c>
      <c r="D14" s="430">
        <v>46439</v>
      </c>
      <c r="E14" s="350">
        <v>64132</v>
      </c>
      <c r="F14" s="425">
        <f t="shared" si="0"/>
        <v>17693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</row>
    <row r="15" spans="1:177" s="20" customFormat="1" ht="16.5" customHeight="1" thickBot="1">
      <c r="A15" s="110"/>
      <c r="B15" s="879" t="s">
        <v>10</v>
      </c>
      <c r="C15" s="123">
        <v>411</v>
      </c>
      <c r="D15" s="431">
        <f>SUM(D6:D14)</f>
        <v>3288179.97</v>
      </c>
      <c r="E15" s="432">
        <f>SUM(E6:E14)</f>
        <v>4304967.7700000005</v>
      </c>
      <c r="F15" s="348">
        <f>SUM(F6:F14)</f>
        <v>1016787.8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</row>
    <row r="16" spans="1:6" ht="13.5" thickBot="1">
      <c r="A16" s="106"/>
      <c r="B16" s="132"/>
      <c r="C16" s="132"/>
      <c r="D16" s="349"/>
      <c r="E16" s="349"/>
      <c r="F16" s="349"/>
    </row>
    <row r="17" spans="1:6" ht="43.5" customHeight="1" thickBot="1">
      <c r="A17" s="106"/>
      <c r="B17" s="880" t="s">
        <v>15</v>
      </c>
      <c r="C17" s="869" t="s">
        <v>12</v>
      </c>
      <c r="D17" s="883" t="s">
        <v>588</v>
      </c>
      <c r="E17" s="884" t="s">
        <v>589</v>
      </c>
      <c r="F17" s="870" t="s">
        <v>590</v>
      </c>
    </row>
    <row r="18" spans="1:6" ht="12.75">
      <c r="A18" s="106"/>
      <c r="B18" s="873"/>
      <c r="C18" s="881"/>
      <c r="D18" s="874">
        <v>1</v>
      </c>
      <c r="E18" s="875">
        <v>2</v>
      </c>
      <c r="F18" s="876">
        <v>3</v>
      </c>
    </row>
    <row r="19" spans="1:6" ht="12.75">
      <c r="A19" s="106"/>
      <c r="B19" s="877" t="s">
        <v>330</v>
      </c>
      <c r="C19" s="131">
        <v>412</v>
      </c>
      <c r="D19" s="430">
        <v>1700217</v>
      </c>
      <c r="E19" s="347">
        <v>1749470</v>
      </c>
      <c r="F19" s="425">
        <f aca="true" t="shared" si="1" ref="F19:F27">E19-D19</f>
        <v>49253</v>
      </c>
    </row>
    <row r="20" spans="1:177" s="20" customFormat="1" ht="12.75">
      <c r="A20" s="110"/>
      <c r="B20" s="877" t="s">
        <v>201</v>
      </c>
      <c r="C20" s="131">
        <v>412</v>
      </c>
      <c r="D20" s="430">
        <v>1340533.93</v>
      </c>
      <c r="E20" s="347">
        <v>170167.43</v>
      </c>
      <c r="F20" s="425">
        <f t="shared" si="1"/>
        <v>-1170366.5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</row>
    <row r="21" spans="1:177" s="20" customFormat="1" ht="12.75">
      <c r="A21" s="110"/>
      <c r="B21" s="877" t="s">
        <v>331</v>
      </c>
      <c r="C21" s="131">
        <v>412</v>
      </c>
      <c r="D21" s="430">
        <v>130628.62</v>
      </c>
      <c r="E21" s="347">
        <v>252712.62</v>
      </c>
      <c r="F21" s="425">
        <f t="shared" si="1"/>
        <v>122084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s="20" customFormat="1" ht="12.75">
      <c r="A22" s="110"/>
      <c r="B22" s="877" t="s">
        <v>332</v>
      </c>
      <c r="C22" s="131">
        <v>412</v>
      </c>
      <c r="D22" s="430">
        <v>90452.23</v>
      </c>
      <c r="E22" s="347">
        <v>190614.63</v>
      </c>
      <c r="F22" s="425">
        <f t="shared" si="1"/>
        <v>100162.40000000001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</row>
    <row r="23" spans="1:177" s="20" customFormat="1" ht="12.75">
      <c r="A23" s="110"/>
      <c r="B23" s="878" t="s">
        <v>333</v>
      </c>
      <c r="C23" s="131">
        <v>412</v>
      </c>
      <c r="D23" s="430"/>
      <c r="E23" s="347"/>
      <c r="F23" s="425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</row>
    <row r="24" spans="1:177" s="20" customFormat="1" ht="12.75">
      <c r="A24" s="110"/>
      <c r="B24" s="878" t="s">
        <v>334</v>
      </c>
      <c r="C24" s="131">
        <v>412</v>
      </c>
      <c r="D24" s="430">
        <v>201255.21</v>
      </c>
      <c r="E24" s="347">
        <v>321123.25</v>
      </c>
      <c r="F24" s="425">
        <f t="shared" si="1"/>
        <v>119868.04000000001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</row>
    <row r="25" spans="1:177" s="20" customFormat="1" ht="12.75">
      <c r="A25" s="110"/>
      <c r="B25" s="878" t="s">
        <v>202</v>
      </c>
      <c r="C25" s="131">
        <v>412</v>
      </c>
      <c r="D25" s="430">
        <v>153491.8</v>
      </c>
      <c r="E25" s="347">
        <v>190186.43</v>
      </c>
      <c r="F25" s="425">
        <f t="shared" si="1"/>
        <v>36694.630000000005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</row>
    <row r="26" spans="1:177" s="20" customFormat="1" ht="12.75">
      <c r="A26" s="110"/>
      <c r="B26" s="877" t="s">
        <v>3</v>
      </c>
      <c r="C26" s="131">
        <v>412</v>
      </c>
      <c r="D26" s="430">
        <v>21389.09</v>
      </c>
      <c r="E26" s="347">
        <v>25100.09</v>
      </c>
      <c r="F26" s="425">
        <f t="shared" si="1"/>
        <v>3711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</row>
    <row r="27" spans="1:177" s="20" customFormat="1" ht="13.5" thickBot="1">
      <c r="A27" s="110"/>
      <c r="B27" s="877" t="s">
        <v>443</v>
      </c>
      <c r="C27" s="131">
        <v>412</v>
      </c>
      <c r="D27" s="430">
        <v>13048</v>
      </c>
      <c r="E27" s="350">
        <v>10250</v>
      </c>
      <c r="F27" s="425">
        <f t="shared" si="1"/>
        <v>-2798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</row>
    <row r="28" spans="1:177" s="20" customFormat="1" ht="13.5" thickBot="1">
      <c r="A28" s="110"/>
      <c r="B28" s="879" t="s">
        <v>10</v>
      </c>
      <c r="C28" s="123">
        <v>412</v>
      </c>
      <c r="D28" s="431">
        <f>SUM(D19:D27)</f>
        <v>3651015.8799999994</v>
      </c>
      <c r="E28" s="432">
        <f>SUM(E19:E27)</f>
        <v>2909624.4499999997</v>
      </c>
      <c r="F28" s="348">
        <f>SUM(F19:F27)</f>
        <v>-741391.4299999999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</row>
    <row r="29" spans="1:6" ht="13.5" thickBot="1">
      <c r="A29" s="106"/>
      <c r="B29" s="132"/>
      <c r="C29" s="132"/>
      <c r="D29" s="349"/>
      <c r="E29" s="349"/>
      <c r="F29" s="349"/>
    </row>
    <row r="30" spans="1:6" ht="43.5" customHeight="1" thickBot="1">
      <c r="A30" s="106"/>
      <c r="B30" s="880" t="s">
        <v>193</v>
      </c>
      <c r="C30" s="869" t="s">
        <v>12</v>
      </c>
      <c r="D30" s="883" t="s">
        <v>588</v>
      </c>
      <c r="E30" s="884" t="s">
        <v>589</v>
      </c>
      <c r="F30" s="870" t="s">
        <v>590</v>
      </c>
    </row>
    <row r="31" spans="1:6" ht="12.75">
      <c r="A31" s="106"/>
      <c r="B31" s="873"/>
      <c r="C31" s="882"/>
      <c r="D31" s="426">
        <v>1</v>
      </c>
      <c r="E31" s="427">
        <v>2</v>
      </c>
      <c r="F31" s="6">
        <v>3</v>
      </c>
    </row>
    <row r="32" spans="1:6" ht="12.75">
      <c r="A32" s="106"/>
      <c r="B32" s="877" t="s">
        <v>330</v>
      </c>
      <c r="C32" s="131"/>
      <c r="D32" s="586">
        <f>SUM(D33:D34)</f>
        <v>519625841.75</v>
      </c>
      <c r="E32" s="347">
        <f>SUM(E33:E34)</f>
        <v>596891610.03</v>
      </c>
      <c r="F32" s="587">
        <f>SUM(F33:F34)</f>
        <v>77265768.27999999</v>
      </c>
    </row>
    <row r="33" spans="1:6" ht="12.75">
      <c r="A33" s="106"/>
      <c r="B33" s="885" t="s">
        <v>349</v>
      </c>
      <c r="C33" s="131">
        <v>413</v>
      </c>
      <c r="D33" s="430">
        <v>6514465.87</v>
      </c>
      <c r="E33" s="347">
        <v>6382529.63</v>
      </c>
      <c r="F33" s="587">
        <f>E33-D33</f>
        <v>-131936.24000000022</v>
      </c>
    </row>
    <row r="34" spans="1:6" ht="12.75">
      <c r="A34" s="106"/>
      <c r="B34" s="885" t="s">
        <v>350</v>
      </c>
      <c r="C34" s="1032">
        <v>414</v>
      </c>
      <c r="D34" s="430">
        <v>513111375.88</v>
      </c>
      <c r="E34" s="347">
        <v>590509080.4</v>
      </c>
      <c r="F34" s="587">
        <f>E34-D34</f>
        <v>77397704.51999998</v>
      </c>
    </row>
    <row r="35" spans="1:6" ht="12.75">
      <c r="A35" s="106"/>
      <c r="B35" s="886" t="s">
        <v>470</v>
      </c>
      <c r="C35" s="1033"/>
      <c r="D35" s="430">
        <v>0</v>
      </c>
      <c r="E35" s="347">
        <v>0</v>
      </c>
      <c r="F35" s="587">
        <f>E35-D35</f>
        <v>0</v>
      </c>
    </row>
    <row r="36" spans="1:6" ht="12.75">
      <c r="A36" s="106"/>
      <c r="B36" s="886" t="s">
        <v>471</v>
      </c>
      <c r="C36" s="1034"/>
      <c r="D36" s="430">
        <v>0</v>
      </c>
      <c r="E36" s="347">
        <v>81155</v>
      </c>
      <c r="F36" s="587">
        <f>E36-D36</f>
        <v>81155</v>
      </c>
    </row>
    <row r="37" spans="1:177" s="20" customFormat="1" ht="12.75">
      <c r="A37" s="110"/>
      <c r="B37" s="877" t="s">
        <v>201</v>
      </c>
      <c r="C37" s="131"/>
      <c r="D37" s="586">
        <f>SUM(D38:D39)</f>
        <v>1397129.85</v>
      </c>
      <c r="E37" s="347">
        <f>SUM(E38:E39)</f>
        <v>47293785.25</v>
      </c>
      <c r="F37" s="587">
        <f>SUM(F38:F39)</f>
        <v>45896655.4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1:177" s="20" customFormat="1" ht="12.75">
      <c r="A38" s="110"/>
      <c r="B38" s="885" t="s">
        <v>349</v>
      </c>
      <c r="C38" s="131">
        <v>413</v>
      </c>
      <c r="D38" s="430">
        <v>470759.22</v>
      </c>
      <c r="E38" s="347">
        <v>495516.98</v>
      </c>
      <c r="F38" s="587">
        <f>E38-D38</f>
        <v>24757.76000000001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s="20" customFormat="1" ht="12.75">
      <c r="A39" s="110"/>
      <c r="B39" s="885" t="s">
        <v>350</v>
      </c>
      <c r="C39" s="1032">
        <v>414</v>
      </c>
      <c r="D39" s="430">
        <v>926370.63</v>
      </c>
      <c r="E39" s="347">
        <v>46798268.27</v>
      </c>
      <c r="F39" s="587">
        <f>E39-D39</f>
        <v>45871897.64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:177" s="20" customFormat="1" ht="12.75">
      <c r="A40" s="110"/>
      <c r="B40" s="886" t="s">
        <v>470</v>
      </c>
      <c r="C40" s="1033"/>
      <c r="D40" s="430">
        <v>9931.88</v>
      </c>
      <c r="E40" s="347">
        <v>18173101</v>
      </c>
      <c r="F40" s="425">
        <f>E40-D40</f>
        <v>18163169.12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</row>
    <row r="41" spans="1:177" s="20" customFormat="1" ht="12.75">
      <c r="A41" s="110"/>
      <c r="B41" s="886" t="s">
        <v>471</v>
      </c>
      <c r="C41" s="1034"/>
      <c r="D41" s="430">
        <v>30020</v>
      </c>
      <c r="E41" s="347">
        <v>11250858.28</v>
      </c>
      <c r="F41" s="425">
        <f>E41-D41</f>
        <v>11220838.28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</row>
    <row r="42" spans="1:177" s="20" customFormat="1" ht="12.75">
      <c r="A42" s="110"/>
      <c r="B42" s="877" t="s">
        <v>331</v>
      </c>
      <c r="C42" s="131"/>
      <c r="D42" s="430">
        <f>SUM(D43:D44)</f>
        <v>3844951.36</v>
      </c>
      <c r="E42" s="347">
        <f>SUM(E43:E44)</f>
        <v>2912316.65</v>
      </c>
      <c r="F42" s="425">
        <f>SUM(F43:F44)</f>
        <v>-932634.71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s="20" customFormat="1" ht="12.75">
      <c r="A43" s="110"/>
      <c r="B43" s="885" t="s">
        <v>349</v>
      </c>
      <c r="C43" s="131">
        <v>413</v>
      </c>
      <c r="D43" s="430">
        <v>3844951.36</v>
      </c>
      <c r="E43" s="347">
        <v>2912316.65</v>
      </c>
      <c r="F43" s="425">
        <f>E43-D43</f>
        <v>-932634.71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s="20" customFormat="1" ht="12.75">
      <c r="A44" s="110"/>
      <c r="B44" s="885" t="s">
        <v>350</v>
      </c>
      <c r="C44" s="131">
        <v>414</v>
      </c>
      <c r="D44" s="430"/>
      <c r="E44" s="347"/>
      <c r="F44" s="425">
        <f>E44-D44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:177" s="20" customFormat="1" ht="12.75">
      <c r="A45" s="110"/>
      <c r="B45" s="877" t="s">
        <v>332</v>
      </c>
      <c r="C45" s="131"/>
      <c r="D45" s="430">
        <f>SUM(D46:D47)</f>
        <v>405637.71</v>
      </c>
      <c r="E45" s="425">
        <f>SUM(E46:E47)</f>
        <v>3277774.21</v>
      </c>
      <c r="F45" s="425">
        <f>SUM(F46:F47)</f>
        <v>2872136.5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</row>
    <row r="46" spans="1:177" s="20" customFormat="1" ht="12.75">
      <c r="A46" s="110"/>
      <c r="B46" s="885" t="s">
        <v>349</v>
      </c>
      <c r="C46" s="131">
        <v>413</v>
      </c>
      <c r="D46" s="430">
        <v>107523.27</v>
      </c>
      <c r="E46" s="347">
        <v>3038870.69</v>
      </c>
      <c r="F46" s="425">
        <f>E46-D46</f>
        <v>2931347.42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</row>
    <row r="47" spans="1:177" s="20" customFormat="1" ht="12.75">
      <c r="A47" s="110"/>
      <c r="B47" s="885" t="s">
        <v>350</v>
      </c>
      <c r="C47" s="131">
        <v>414</v>
      </c>
      <c r="D47" s="430">
        <v>298114.44</v>
      </c>
      <c r="E47" s="347">
        <v>238903.52</v>
      </c>
      <c r="F47" s="425">
        <f>E47-D47</f>
        <v>-59210.92000000001</v>
      </c>
      <c r="G47" s="1"/>
      <c r="H47" s="1"/>
      <c r="I47" s="19"/>
      <c r="J47" s="1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</row>
    <row r="48" spans="1:177" s="20" customFormat="1" ht="12.75">
      <c r="A48" s="110"/>
      <c r="B48" s="878" t="s">
        <v>333</v>
      </c>
      <c r="C48" s="131"/>
      <c r="D48" s="430">
        <f>SUM(D49:D50)</f>
        <v>72671.75</v>
      </c>
      <c r="E48" s="347">
        <f>SUM(E49:E50)</f>
        <v>174053.88</v>
      </c>
      <c r="F48" s="425">
        <f>SUM(F49:F50)</f>
        <v>101382.13</v>
      </c>
      <c r="G48" s="1"/>
      <c r="H48" s="1"/>
      <c r="I48" s="19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</row>
    <row r="49" spans="1:177" s="20" customFormat="1" ht="12.75">
      <c r="A49" s="110"/>
      <c r="B49" s="885" t="s">
        <v>349</v>
      </c>
      <c r="C49" s="131">
        <v>413</v>
      </c>
      <c r="D49" s="430">
        <v>6248.47</v>
      </c>
      <c r="E49" s="347">
        <v>107630.6</v>
      </c>
      <c r="F49" s="425">
        <f>E49-D49</f>
        <v>101382.13</v>
      </c>
      <c r="G49" s="1"/>
      <c r="H49" s="1"/>
      <c r="I49" s="950"/>
      <c r="J49" s="95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</row>
    <row r="50" spans="1:177" s="20" customFormat="1" ht="12.75">
      <c r="A50" s="110"/>
      <c r="B50" s="885" t="s">
        <v>350</v>
      </c>
      <c r="C50" s="131">
        <v>414</v>
      </c>
      <c r="D50" s="430">
        <v>66423.28</v>
      </c>
      <c r="E50" s="347">
        <v>66423.28</v>
      </c>
      <c r="F50" s="425">
        <f>E50-D50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</row>
    <row r="51" spans="1:177" s="20" customFormat="1" ht="12.75">
      <c r="A51" s="110"/>
      <c r="B51" s="878" t="s">
        <v>334</v>
      </c>
      <c r="C51" s="131"/>
      <c r="D51" s="430">
        <f>SUM(D52:D53)</f>
        <v>25680583.22</v>
      </c>
      <c r="E51" s="347">
        <f>SUM(E52:E53)</f>
        <v>34801084.82</v>
      </c>
      <c r="F51" s="425">
        <f>SUM(F52:F53)</f>
        <v>9120501.599999998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</row>
    <row r="52" spans="1:177" s="20" customFormat="1" ht="12.75">
      <c r="A52" s="110"/>
      <c r="B52" s="885" t="s">
        <v>349</v>
      </c>
      <c r="C52" s="131">
        <v>413</v>
      </c>
      <c r="D52" s="430">
        <v>21148407.93</v>
      </c>
      <c r="E52" s="347">
        <v>24158685.4</v>
      </c>
      <c r="F52" s="425">
        <f>E52-D52</f>
        <v>3010277.469999999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</row>
    <row r="53" spans="1:177" s="20" customFormat="1" ht="12.75">
      <c r="A53" s="110"/>
      <c r="B53" s="885" t="s">
        <v>350</v>
      </c>
      <c r="C53" s="1032">
        <v>414</v>
      </c>
      <c r="D53" s="430">
        <v>4532175.29</v>
      </c>
      <c r="E53" s="347">
        <v>10642399.42</v>
      </c>
      <c r="F53" s="425">
        <f>E53-D53</f>
        <v>6110224.13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</row>
    <row r="54" spans="1:177" s="20" customFormat="1" ht="12.75">
      <c r="A54" s="110"/>
      <c r="B54" s="886" t="s">
        <v>470</v>
      </c>
      <c r="C54" s="1033"/>
      <c r="D54" s="430"/>
      <c r="E54" s="347">
        <v>622430</v>
      </c>
      <c r="F54" s="425">
        <f>E54-D54</f>
        <v>622430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</row>
    <row r="55" spans="1:177" s="20" customFormat="1" ht="12.75">
      <c r="A55" s="110"/>
      <c r="B55" s="886" t="s">
        <v>471</v>
      </c>
      <c r="C55" s="1034"/>
      <c r="D55" s="430"/>
      <c r="E55" s="347">
        <v>3611965.9</v>
      </c>
      <c r="F55" s="425">
        <f>E55-D55</f>
        <v>3611965.9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</row>
    <row r="56" spans="1:177" s="20" customFormat="1" ht="12.75">
      <c r="A56" s="110"/>
      <c r="B56" s="878" t="s">
        <v>202</v>
      </c>
      <c r="C56" s="131"/>
      <c r="D56" s="430">
        <f>SUM(D57:D58)</f>
        <v>13202467.4</v>
      </c>
      <c r="E56" s="347">
        <f>SUM(E57:E58)</f>
        <v>19209577.6</v>
      </c>
      <c r="F56" s="425">
        <f>SUM(F57:F58)</f>
        <v>6007110.200000001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</row>
    <row r="57" spans="1:177" s="20" customFormat="1" ht="12.75">
      <c r="A57" s="110"/>
      <c r="B57" s="885" t="s">
        <v>349</v>
      </c>
      <c r="C57" s="131">
        <v>413</v>
      </c>
      <c r="D57" s="430">
        <v>13202467.4</v>
      </c>
      <c r="E57" s="347">
        <v>19209577.6</v>
      </c>
      <c r="F57" s="425">
        <f>E57-D57</f>
        <v>6007110.200000001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</row>
    <row r="58" spans="1:177" s="20" customFormat="1" ht="12.75">
      <c r="A58" s="110"/>
      <c r="B58" s="885" t="s">
        <v>350</v>
      </c>
      <c r="C58" s="131">
        <v>414</v>
      </c>
      <c r="D58" s="430"/>
      <c r="E58" s="347"/>
      <c r="F58" s="425">
        <f>E58-D58</f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</row>
    <row r="59" spans="1:177" s="20" customFormat="1" ht="12.75">
      <c r="A59" s="110"/>
      <c r="B59" s="877" t="s">
        <v>3</v>
      </c>
      <c r="C59" s="131"/>
      <c r="D59" s="430">
        <f>SUM(D60:D61)</f>
        <v>2155618.8</v>
      </c>
      <c r="E59" s="347">
        <f>SUM(E60:E61)</f>
        <v>2542140.39</v>
      </c>
      <c r="F59" s="425">
        <f>SUM(F60:F61)</f>
        <v>386521.5900000003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</row>
    <row r="60" spans="1:177" s="20" customFormat="1" ht="12.75">
      <c r="A60" s="110"/>
      <c r="B60" s="885" t="s">
        <v>349</v>
      </c>
      <c r="C60" s="131">
        <v>413</v>
      </c>
      <c r="D60" s="430">
        <v>2155618.8</v>
      </c>
      <c r="E60" s="350">
        <v>2542140.39</v>
      </c>
      <c r="F60" s="425">
        <f>E60-D60</f>
        <v>386521.5900000003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</row>
    <row r="61" spans="1:177" s="20" customFormat="1" ht="12.75">
      <c r="A61" s="110"/>
      <c r="B61" s="885" t="s">
        <v>350</v>
      </c>
      <c r="C61" s="131">
        <v>414</v>
      </c>
      <c r="D61" s="352"/>
      <c r="E61" s="350"/>
      <c r="F61" s="433">
        <f>E61-D61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</row>
    <row r="62" spans="1:177" s="20" customFormat="1" ht="12.75">
      <c r="A62" s="110"/>
      <c r="B62" s="878" t="s">
        <v>443</v>
      </c>
      <c r="C62" s="140"/>
      <c r="D62" s="351">
        <f>SUM(D63:D64)</f>
        <v>337567.75</v>
      </c>
      <c r="E62" s="435">
        <f>SUM(E63:E64)</f>
        <v>444639.87</v>
      </c>
      <c r="F62" s="596">
        <f>SUM(F63:F64)</f>
        <v>107072.12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</row>
    <row r="63" spans="1:177" s="20" customFormat="1" ht="12.75">
      <c r="A63" s="110"/>
      <c r="B63" s="885" t="s">
        <v>349</v>
      </c>
      <c r="C63" s="131">
        <v>413</v>
      </c>
      <c r="D63" s="352">
        <v>337567.75</v>
      </c>
      <c r="E63" s="350">
        <v>444639.87</v>
      </c>
      <c r="F63" s="433">
        <f>E63-D63</f>
        <v>107072.12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</row>
    <row r="64" spans="1:177" s="20" customFormat="1" ht="13.5" thickBot="1">
      <c r="A64" s="110"/>
      <c r="B64" s="886" t="s">
        <v>350</v>
      </c>
      <c r="C64" s="892">
        <v>414</v>
      </c>
      <c r="D64" s="352"/>
      <c r="E64" s="350"/>
      <c r="F64" s="43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</row>
    <row r="65" spans="1:177" s="20" customFormat="1" ht="13.5" thickBot="1">
      <c r="A65" s="110"/>
      <c r="B65" s="879" t="s">
        <v>10</v>
      </c>
      <c r="C65" s="141"/>
      <c r="D65" s="436">
        <f aca="true" t="shared" si="2" ref="D65:F66">D32+D37+D42+D45+D48+D51+D56+D59+D62</f>
        <v>566722469.5899999</v>
      </c>
      <c r="E65" s="437">
        <f t="shared" si="2"/>
        <v>707546982.7</v>
      </c>
      <c r="F65" s="434">
        <f t="shared" si="2"/>
        <v>140824513.10999998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</row>
    <row r="66" spans="1:177" s="20" customFormat="1" ht="12.75">
      <c r="A66" s="110"/>
      <c r="B66" s="887" t="s">
        <v>349</v>
      </c>
      <c r="C66" s="591">
        <v>413</v>
      </c>
      <c r="D66" s="592">
        <f t="shared" si="2"/>
        <v>47788010.06999999</v>
      </c>
      <c r="E66" s="593">
        <f t="shared" si="2"/>
        <v>59291907.809999995</v>
      </c>
      <c r="F66" s="594">
        <f t="shared" si="2"/>
        <v>11503897.739999998</v>
      </c>
      <c r="G66" s="11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</row>
    <row r="67" spans="1:177" s="20" customFormat="1" ht="12.75">
      <c r="A67" s="110"/>
      <c r="B67" s="888" t="s">
        <v>350</v>
      </c>
      <c r="C67" s="1035">
        <v>414</v>
      </c>
      <c r="D67" s="446">
        <f>D34+D39+D44+D47+D50+D53+D58+D61+D64</f>
        <v>518934459.52</v>
      </c>
      <c r="E67" s="595">
        <f>E34+E39+E44+E47+E50+E53+E58+E61+E64</f>
        <v>648255074.8899999</v>
      </c>
      <c r="F67" s="595">
        <f>F32+F37+F42+F45+F48+F51+F56+F59+F62</f>
        <v>140824513.10999998</v>
      </c>
      <c r="G67" s="11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</row>
    <row r="68" spans="1:177" s="20" customFormat="1" ht="12.75">
      <c r="A68" s="110"/>
      <c r="B68" s="889" t="s">
        <v>470</v>
      </c>
      <c r="C68" s="1036"/>
      <c r="D68" s="430">
        <f aca="true" t="shared" si="3" ref="D68:F69">D35+D40+D54</f>
        <v>9931.88</v>
      </c>
      <c r="E68" s="347">
        <f t="shared" si="3"/>
        <v>18795531</v>
      </c>
      <c r="F68" s="425">
        <f t="shared" si="3"/>
        <v>18785599.12</v>
      </c>
      <c r="G68" s="11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</row>
    <row r="69" spans="1:177" s="20" customFormat="1" ht="13.5" thickBot="1">
      <c r="A69" s="110"/>
      <c r="B69" s="890" t="s">
        <v>471</v>
      </c>
      <c r="C69" s="1037"/>
      <c r="D69" s="588">
        <f t="shared" si="3"/>
        <v>30020</v>
      </c>
      <c r="E69" s="589">
        <f t="shared" si="3"/>
        <v>14943979.18</v>
      </c>
      <c r="F69" s="590">
        <f t="shared" si="3"/>
        <v>14913959.18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</row>
    <row r="70" spans="1:6" ht="13.5" thickBot="1">
      <c r="A70" s="106"/>
      <c r="B70" s="132"/>
      <c r="C70" s="132"/>
      <c r="D70" s="349"/>
      <c r="E70" s="349"/>
      <c r="F70" s="349"/>
    </row>
    <row r="71" spans="1:6" ht="43.5" customHeight="1" thickBot="1">
      <c r="A71" s="106"/>
      <c r="B71" s="880" t="s">
        <v>7</v>
      </c>
      <c r="C71" s="869" t="s">
        <v>12</v>
      </c>
      <c r="D71" s="883" t="s">
        <v>588</v>
      </c>
      <c r="E71" s="884" t="s">
        <v>589</v>
      </c>
      <c r="F71" s="870" t="s">
        <v>590</v>
      </c>
    </row>
    <row r="72" spans="1:6" ht="12.75">
      <c r="A72" s="106"/>
      <c r="B72" s="873"/>
      <c r="C72" s="881"/>
      <c r="D72" s="874">
        <v>1</v>
      </c>
      <c r="E72" s="875">
        <v>2</v>
      </c>
      <c r="F72" s="876">
        <v>3</v>
      </c>
    </row>
    <row r="73" spans="1:6" ht="12.75">
      <c r="A73" s="106"/>
      <c r="B73" s="877" t="s">
        <v>330</v>
      </c>
      <c r="C73" s="131">
        <v>416</v>
      </c>
      <c r="D73" s="430">
        <v>17216316.66</v>
      </c>
      <c r="E73" s="347">
        <v>16677129.37</v>
      </c>
      <c r="F73" s="425">
        <f aca="true" t="shared" si="4" ref="F73:F81">E73-D73</f>
        <v>-539187.290000001</v>
      </c>
    </row>
    <row r="74" spans="1:177" s="20" customFormat="1" ht="12.75">
      <c r="A74" s="110"/>
      <c r="B74" s="877" t="s">
        <v>201</v>
      </c>
      <c r="C74" s="131">
        <v>416</v>
      </c>
      <c r="D74" s="430">
        <v>2888650.45</v>
      </c>
      <c r="E74" s="347">
        <v>4431823.39</v>
      </c>
      <c r="F74" s="425">
        <f t="shared" si="4"/>
        <v>1543172.9399999995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</row>
    <row r="75" spans="1:177" s="20" customFormat="1" ht="12.75">
      <c r="A75" s="110"/>
      <c r="B75" s="877" t="s">
        <v>331</v>
      </c>
      <c r="C75" s="131">
        <v>416</v>
      </c>
      <c r="D75" s="430">
        <v>6684234.3</v>
      </c>
      <c r="E75" s="347">
        <v>6186668.89</v>
      </c>
      <c r="F75" s="425">
        <f t="shared" si="4"/>
        <v>-497565.41000000015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</row>
    <row r="76" spans="1:177" s="20" customFormat="1" ht="12.75">
      <c r="A76" s="110"/>
      <c r="B76" s="877" t="s">
        <v>332</v>
      </c>
      <c r="C76" s="131">
        <v>416</v>
      </c>
      <c r="D76" s="430">
        <v>89360223.63</v>
      </c>
      <c r="E76" s="347">
        <v>108276352.76</v>
      </c>
      <c r="F76" s="425">
        <f t="shared" si="4"/>
        <v>18916129.13000001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</row>
    <row r="77" spans="1:177" s="20" customFormat="1" ht="12.75">
      <c r="A77" s="110"/>
      <c r="B77" s="878" t="s">
        <v>333</v>
      </c>
      <c r="C77" s="131">
        <v>416</v>
      </c>
      <c r="D77" s="430">
        <v>454604.1</v>
      </c>
      <c r="E77" s="347">
        <v>454604.1</v>
      </c>
      <c r="F77" s="425">
        <f t="shared" si="4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</row>
    <row r="78" spans="1:177" s="20" customFormat="1" ht="12.75">
      <c r="A78" s="110"/>
      <c r="B78" s="878" t="s">
        <v>334</v>
      </c>
      <c r="C78" s="57">
        <v>416</v>
      </c>
      <c r="D78" s="429">
        <v>44266497.82</v>
      </c>
      <c r="E78" s="346">
        <v>46219426.74</v>
      </c>
      <c r="F78" s="424">
        <f t="shared" si="4"/>
        <v>1952928.9200000018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</row>
    <row r="79" spans="1:177" s="20" customFormat="1" ht="12.75">
      <c r="A79" s="110"/>
      <c r="B79" s="878" t="s">
        <v>202</v>
      </c>
      <c r="C79" s="57">
        <v>416</v>
      </c>
      <c r="D79" s="429">
        <v>26098610.28</v>
      </c>
      <c r="E79" s="346">
        <v>22616328</v>
      </c>
      <c r="F79" s="424">
        <f t="shared" si="4"/>
        <v>-3482282.280000001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</row>
    <row r="80" spans="1:177" s="20" customFormat="1" ht="12.75">
      <c r="A80" s="110"/>
      <c r="B80" s="877" t="s">
        <v>3</v>
      </c>
      <c r="C80" s="57">
        <v>416</v>
      </c>
      <c r="D80" s="429">
        <v>339655.82</v>
      </c>
      <c r="E80" s="346">
        <v>623301</v>
      </c>
      <c r="F80" s="424">
        <f t="shared" si="4"/>
        <v>283645.18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</row>
    <row r="81" spans="1:177" s="20" customFormat="1" ht="13.5" thickBot="1">
      <c r="A81" s="110"/>
      <c r="B81" s="877" t="s">
        <v>443</v>
      </c>
      <c r="C81" s="57">
        <v>416</v>
      </c>
      <c r="D81" s="429">
        <v>271985</v>
      </c>
      <c r="E81" s="439">
        <v>379889</v>
      </c>
      <c r="F81" s="424">
        <f t="shared" si="4"/>
        <v>107904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</row>
    <row r="82" spans="1:177" s="20" customFormat="1" ht="13.5" thickBot="1">
      <c r="A82" s="110"/>
      <c r="B82" s="879" t="s">
        <v>10</v>
      </c>
      <c r="C82" s="29">
        <v>416</v>
      </c>
      <c r="D82" s="440">
        <f>SUM(D73:D81)</f>
        <v>187580778.05999997</v>
      </c>
      <c r="E82" s="441">
        <f>SUM(E73:E81)</f>
        <v>205865523.25</v>
      </c>
      <c r="F82" s="438">
        <f>SUM(F73:F81)</f>
        <v>18284745.19000001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</row>
    <row r="83" spans="1:6" ht="13.5" thickBot="1">
      <c r="A83" s="106"/>
      <c r="B83" s="106"/>
      <c r="C83" s="111"/>
      <c r="D83" s="353"/>
      <c r="E83" s="353"/>
      <c r="F83" s="353"/>
    </row>
    <row r="84" spans="1:6" ht="43.5" customHeight="1" thickBot="1">
      <c r="A84" s="106"/>
      <c r="B84" s="880" t="s">
        <v>9</v>
      </c>
      <c r="C84" s="869" t="s">
        <v>12</v>
      </c>
      <c r="D84" s="883" t="s">
        <v>588</v>
      </c>
      <c r="E84" s="884" t="s">
        <v>589</v>
      </c>
      <c r="F84" s="870" t="s">
        <v>590</v>
      </c>
    </row>
    <row r="85" spans="1:6" ht="12.75">
      <c r="A85" s="106"/>
      <c r="B85" s="873"/>
      <c r="C85" s="891"/>
      <c r="D85" s="874">
        <v>1</v>
      </c>
      <c r="E85" s="875">
        <v>2</v>
      </c>
      <c r="F85" s="876">
        <v>3</v>
      </c>
    </row>
    <row r="86" spans="1:6" ht="12.75">
      <c r="A86" s="106"/>
      <c r="B86" s="877" t="s">
        <v>330</v>
      </c>
      <c r="C86" s="472"/>
      <c r="D86" s="444">
        <f>D6+D19+D33+D34+D73</f>
        <v>539128975.55</v>
      </c>
      <c r="E86" s="445">
        <f>E6+E19+E32+E73</f>
        <v>615721280.54</v>
      </c>
      <c r="F86" s="442">
        <f>F6+F19+F33+F34+F73</f>
        <v>76592304.98999998</v>
      </c>
    </row>
    <row r="87" spans="1:6" ht="12.75">
      <c r="A87" s="106"/>
      <c r="B87" s="877" t="s">
        <v>201</v>
      </c>
      <c r="C87" s="472"/>
      <c r="D87" s="446">
        <f>D7+D20+D37+D74</f>
        <v>6379598.08</v>
      </c>
      <c r="E87" s="445">
        <f>E7+E20+E37+E74</f>
        <v>52501197.92</v>
      </c>
      <c r="F87" s="442">
        <f>F7+F20+F37+F74+0.002</f>
        <v>46121599.84199999</v>
      </c>
    </row>
    <row r="88" spans="1:6" ht="12.75">
      <c r="A88" s="106"/>
      <c r="B88" s="877" t="s">
        <v>331</v>
      </c>
      <c r="C88" s="472"/>
      <c r="D88" s="446">
        <f>D8+D21+D42+D75</f>
        <v>10659854.28</v>
      </c>
      <c r="E88" s="445">
        <f>E8+E21+E42+E75</f>
        <v>9351698.16</v>
      </c>
      <c r="F88" s="442">
        <f>F8+F21+F42+F75</f>
        <v>-1308156.12</v>
      </c>
    </row>
    <row r="89" spans="1:6" ht="12.75">
      <c r="A89" s="106"/>
      <c r="B89" s="877" t="s">
        <v>332</v>
      </c>
      <c r="C89" s="472"/>
      <c r="D89" s="446">
        <f>D9+D22+D45+D76</f>
        <v>90313117.57</v>
      </c>
      <c r="E89" s="445">
        <f>E9+E22+E45+E76</f>
        <v>113178661.4</v>
      </c>
      <c r="F89" s="442">
        <f>F9+F22+F45+F76</f>
        <v>22865543.83000001</v>
      </c>
    </row>
    <row r="90" spans="1:6" ht="12.75">
      <c r="A90" s="106"/>
      <c r="B90" s="878" t="s">
        <v>333</v>
      </c>
      <c r="C90" s="472"/>
      <c r="D90" s="446">
        <f>D10+D23+D48+D77</f>
        <v>527275.85</v>
      </c>
      <c r="E90" s="445">
        <f>E10+E23+E48+E77</f>
        <v>628657.98</v>
      </c>
      <c r="F90" s="442">
        <f>F10+F23+F48+F77</f>
        <v>101382.13</v>
      </c>
    </row>
    <row r="91" spans="1:6" ht="12.75">
      <c r="A91" s="106"/>
      <c r="B91" s="878" t="s">
        <v>334</v>
      </c>
      <c r="C91" s="472"/>
      <c r="D91" s="446">
        <f>D11+D24+D52+D53+D78</f>
        <v>70796328.25</v>
      </c>
      <c r="E91" s="445">
        <f>E11+E24+E51+E78</f>
        <v>82030388.81</v>
      </c>
      <c r="F91" s="442">
        <f>E91-D91</f>
        <v>11234060.560000002</v>
      </c>
    </row>
    <row r="92" spans="1:6" ht="12.75">
      <c r="A92" s="106"/>
      <c r="B92" s="877" t="s">
        <v>202</v>
      </c>
      <c r="C92" s="472"/>
      <c r="D92" s="446">
        <f>D12+D25+D57+D58+D79</f>
        <v>40169747.480000004</v>
      </c>
      <c r="E92" s="445">
        <f>E12+E25+E56+E79</f>
        <v>43031985.03</v>
      </c>
      <c r="F92" s="442">
        <f>E92-D92+0.002</f>
        <v>2862237.551999997</v>
      </c>
    </row>
    <row r="93" spans="1:6" ht="12.75">
      <c r="A93" s="106"/>
      <c r="B93" s="877" t="s">
        <v>3</v>
      </c>
      <c r="C93" s="472"/>
      <c r="D93" s="446">
        <f>D13+D26+D60+D61+D80</f>
        <v>2598506.6899999995</v>
      </c>
      <c r="E93" s="445">
        <f>E13+E26+E59+E80</f>
        <v>3284317.46</v>
      </c>
      <c r="F93" s="442">
        <f>E93-D93+0.002</f>
        <v>685810.7720000005</v>
      </c>
    </row>
    <row r="94" spans="1:6" ht="13.5" thickBot="1">
      <c r="A94" s="106"/>
      <c r="B94" s="877" t="s">
        <v>443</v>
      </c>
      <c r="C94" s="472"/>
      <c r="D94" s="446">
        <f>D14+D27+D63+D64+D81</f>
        <v>669039.75</v>
      </c>
      <c r="E94" s="445">
        <f>E14+E27+E62+E81</f>
        <v>898910.87</v>
      </c>
      <c r="F94" s="442">
        <f>E94-D94</f>
        <v>229871.12</v>
      </c>
    </row>
    <row r="95" spans="1:6" ht="13.5" thickBot="1">
      <c r="A95" s="106"/>
      <c r="B95" s="879" t="s">
        <v>10</v>
      </c>
      <c r="C95" s="473"/>
      <c r="D95" s="447">
        <f>SUM(D86:D94)</f>
        <v>761242443.5000001</v>
      </c>
      <c r="E95" s="448">
        <f>SUM(E86:E94)+0.001</f>
        <v>920627098.171</v>
      </c>
      <c r="F95" s="443">
        <f>SUM(F86:F94)</f>
        <v>159384654.67599997</v>
      </c>
    </row>
    <row r="97" spans="4:6" ht="12.75">
      <c r="D97" s="19"/>
      <c r="E97" s="19"/>
      <c r="F97" s="19"/>
    </row>
  </sheetData>
  <sheetProtection/>
  <mergeCells count="4">
    <mergeCell ref="C53:C55"/>
    <mergeCell ref="C34:C36"/>
    <mergeCell ref="C39:C41"/>
    <mergeCell ref="C67:C69"/>
  </mergeCells>
  <printOptions horizont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4"/>
  <sheetViews>
    <sheetView zoomScalePageLayoutView="0" workbookViewId="0" topLeftCell="A29">
      <selection activeCell="G52" sqref="G52"/>
    </sheetView>
  </sheetViews>
  <sheetFormatPr defaultColWidth="9.140625" defaultRowHeight="12.75"/>
  <cols>
    <col min="1" max="1" width="4.421875" style="1" customWidth="1"/>
    <col min="2" max="2" width="14.8515625" style="1" customWidth="1"/>
    <col min="3" max="3" width="8.421875" style="1" customWidth="1"/>
    <col min="4" max="4" width="15.00390625" style="1" hidden="1" customWidth="1"/>
    <col min="5" max="5" width="15.140625" style="1" hidden="1" customWidth="1"/>
    <col min="6" max="6" width="14.28125" style="1" hidden="1" customWidth="1"/>
    <col min="7" max="7" width="14.421875" style="58" bestFit="1" customWidth="1"/>
    <col min="8" max="8" width="14.57421875" style="58" customWidth="1"/>
    <col min="9" max="9" width="14.8515625" style="58" bestFit="1" customWidth="1"/>
    <col min="10" max="10" width="8.8515625" style="1" customWidth="1"/>
    <col min="11" max="12" width="14.8515625" style="1" hidden="1" customWidth="1"/>
    <col min="13" max="13" width="16.28125" style="1" hidden="1" customWidth="1"/>
    <col min="14" max="16384" width="9.140625" style="1" customWidth="1"/>
  </cols>
  <sheetData>
    <row r="1" ht="15.75">
      <c r="I1" s="59" t="s">
        <v>628</v>
      </c>
    </row>
    <row r="2" ht="15.75">
      <c r="B2" s="130" t="s">
        <v>11</v>
      </c>
    </row>
    <row r="3" spans="8:9" ht="13.5" thickBot="1">
      <c r="H3" s="60"/>
      <c r="I3" s="893" t="s">
        <v>317</v>
      </c>
    </row>
    <row r="4" spans="2:9" ht="13.5" thickBot="1">
      <c r="B4" s="901"/>
      <c r="C4" s="896"/>
      <c r="D4" s="897"/>
      <c r="E4" s="898" t="s">
        <v>456</v>
      </c>
      <c r="F4" s="899"/>
      <c r="G4" s="897"/>
      <c r="H4" s="898" t="s">
        <v>620</v>
      </c>
      <c r="I4" s="899"/>
    </row>
    <row r="5" spans="2:9" ht="27" customHeight="1" thickBot="1">
      <c r="B5" s="902" t="s">
        <v>2</v>
      </c>
      <c r="C5" s="894" t="s">
        <v>12</v>
      </c>
      <c r="D5" s="871" t="s">
        <v>13</v>
      </c>
      <c r="E5" s="895" t="s">
        <v>14</v>
      </c>
      <c r="F5" s="872" t="s">
        <v>121</v>
      </c>
      <c r="G5" s="871" t="s">
        <v>13</v>
      </c>
      <c r="H5" s="895" t="s">
        <v>14</v>
      </c>
      <c r="I5" s="872" t="s">
        <v>121</v>
      </c>
    </row>
    <row r="6" spans="2:13" ht="12.75">
      <c r="B6" s="900"/>
      <c r="C6" s="907"/>
      <c r="D6" s="450">
        <v>241</v>
      </c>
      <c r="E6" s="451">
        <v>245</v>
      </c>
      <c r="F6" s="452">
        <v>243</v>
      </c>
      <c r="G6" s="450">
        <v>241</v>
      </c>
      <c r="H6" s="451">
        <v>245</v>
      </c>
      <c r="I6" s="452">
        <v>243</v>
      </c>
      <c r="K6" s="1" t="s">
        <v>444</v>
      </c>
      <c r="L6" s="1" t="s">
        <v>445</v>
      </c>
      <c r="M6" s="1" t="s">
        <v>446</v>
      </c>
    </row>
    <row r="7" spans="2:13" ht="12.75">
      <c r="B7" s="903" t="s">
        <v>330</v>
      </c>
      <c r="C7" s="131">
        <v>411</v>
      </c>
      <c r="D7" s="453">
        <v>767709.14</v>
      </c>
      <c r="E7" s="354"/>
      <c r="F7" s="355"/>
      <c r="G7" s="453">
        <v>786600.14</v>
      </c>
      <c r="H7" s="354"/>
      <c r="I7" s="355"/>
      <c r="J7" s="19"/>
      <c r="K7" s="19"/>
      <c r="L7" s="19"/>
      <c r="M7" s="19">
        <f>K7-L7</f>
        <v>0</v>
      </c>
    </row>
    <row r="8" spans="2:13" ht="12.75">
      <c r="B8" s="903" t="s">
        <v>201</v>
      </c>
      <c r="C8" s="131">
        <v>411</v>
      </c>
      <c r="D8" s="380">
        <v>1308192.85</v>
      </c>
      <c r="E8" s="356"/>
      <c r="F8" s="357"/>
      <c r="G8" s="380">
        <v>1346083.85</v>
      </c>
      <c r="H8" s="356"/>
      <c r="I8" s="357"/>
      <c r="J8" s="19"/>
      <c r="K8" s="19"/>
      <c r="L8" s="19"/>
      <c r="M8" s="19">
        <f aca="true" t="shared" si="0" ref="M8:M15">K8-L8</f>
        <v>0</v>
      </c>
    </row>
    <row r="9" spans="2:13" ht="12.75">
      <c r="B9" s="903" t="s">
        <v>331</v>
      </c>
      <c r="C9" s="131">
        <v>411</v>
      </c>
      <c r="D9" s="380">
        <v>40</v>
      </c>
      <c r="E9" s="356"/>
      <c r="F9" s="357"/>
      <c r="G9" s="380"/>
      <c r="H9" s="356"/>
      <c r="I9" s="357"/>
      <c r="J9" s="19"/>
      <c r="K9" s="19"/>
      <c r="L9" s="19"/>
      <c r="M9" s="19">
        <f t="shared" si="0"/>
        <v>0</v>
      </c>
    </row>
    <row r="10" spans="2:13" ht="12.75">
      <c r="B10" s="903" t="s">
        <v>332</v>
      </c>
      <c r="C10" s="131">
        <v>411</v>
      </c>
      <c r="D10" s="380">
        <v>456804</v>
      </c>
      <c r="E10" s="356"/>
      <c r="F10" s="357"/>
      <c r="G10" s="380">
        <v>456804</v>
      </c>
      <c r="H10" s="356"/>
      <c r="I10" s="357"/>
      <c r="J10" s="19"/>
      <c r="K10" s="19"/>
      <c r="L10" s="19"/>
      <c r="M10" s="19">
        <f t="shared" si="0"/>
        <v>0</v>
      </c>
    </row>
    <row r="11" spans="2:13" ht="12.75">
      <c r="B11" s="904" t="s">
        <v>333</v>
      </c>
      <c r="C11" s="131">
        <v>411</v>
      </c>
      <c r="D11" s="454">
        <v>0</v>
      </c>
      <c r="E11" s="356"/>
      <c r="F11" s="357"/>
      <c r="G11" s="454"/>
      <c r="H11" s="356"/>
      <c r="I11" s="357"/>
      <c r="J11" s="19"/>
      <c r="K11" s="19"/>
      <c r="L11" s="19"/>
      <c r="M11" s="19">
        <f t="shared" si="0"/>
        <v>0</v>
      </c>
    </row>
    <row r="12" spans="2:13" ht="12.75">
      <c r="B12" s="904" t="s">
        <v>334</v>
      </c>
      <c r="C12" s="131">
        <v>411</v>
      </c>
      <c r="D12" s="455">
        <v>1200421</v>
      </c>
      <c r="E12" s="359"/>
      <c r="F12" s="456"/>
      <c r="G12" s="455">
        <v>1222072</v>
      </c>
      <c r="H12" s="359"/>
      <c r="I12" s="456"/>
      <c r="J12" s="19"/>
      <c r="K12" s="19"/>
      <c r="L12" s="19"/>
      <c r="M12" s="19">
        <f t="shared" si="0"/>
        <v>0</v>
      </c>
    </row>
    <row r="13" spans="2:13" ht="12.75">
      <c r="B13" s="904" t="s">
        <v>202</v>
      </c>
      <c r="C13" s="131">
        <v>411</v>
      </c>
      <c r="D13" s="380">
        <v>715178</v>
      </c>
      <c r="E13" s="356"/>
      <c r="F13" s="357"/>
      <c r="G13" s="380">
        <v>1015893</v>
      </c>
      <c r="H13" s="356"/>
      <c r="I13" s="357"/>
      <c r="J13" s="19"/>
      <c r="K13" s="19"/>
      <c r="L13" s="19"/>
      <c r="M13" s="19">
        <f t="shared" si="0"/>
        <v>0</v>
      </c>
    </row>
    <row r="14" spans="2:13" ht="12.75">
      <c r="B14" s="903" t="s">
        <v>3</v>
      </c>
      <c r="C14" s="131">
        <v>411</v>
      </c>
      <c r="D14" s="380">
        <v>81842.98</v>
      </c>
      <c r="E14" s="356"/>
      <c r="F14" s="357"/>
      <c r="G14" s="380">
        <v>93775.98</v>
      </c>
      <c r="H14" s="356"/>
      <c r="I14" s="357"/>
      <c r="J14" s="19"/>
      <c r="K14" s="19"/>
      <c r="L14" s="19"/>
      <c r="M14" s="19">
        <f t="shared" si="0"/>
        <v>0</v>
      </c>
    </row>
    <row r="15" spans="2:13" ht="13.5" thickBot="1">
      <c r="B15" s="905" t="s">
        <v>443</v>
      </c>
      <c r="C15" s="140">
        <v>411</v>
      </c>
      <c r="D15" s="380">
        <v>46439</v>
      </c>
      <c r="E15" s="358"/>
      <c r="F15" s="360"/>
      <c r="G15" s="380">
        <v>64132</v>
      </c>
      <c r="H15" s="358"/>
      <c r="I15" s="360"/>
      <c r="J15" s="19"/>
      <c r="K15" s="19"/>
      <c r="L15" s="19"/>
      <c r="M15" s="19">
        <f t="shared" si="0"/>
        <v>0</v>
      </c>
    </row>
    <row r="16" spans="2:13" ht="16.5" customHeight="1" thickBot="1">
      <c r="B16" s="906" t="s">
        <v>10</v>
      </c>
      <c r="C16" s="141">
        <v>411</v>
      </c>
      <c r="D16" s="457">
        <f aca="true" t="shared" si="1" ref="D16:I16">SUM(D7:D15)</f>
        <v>4576626.970000001</v>
      </c>
      <c r="E16" s="458">
        <f t="shared" si="1"/>
        <v>0</v>
      </c>
      <c r="F16" s="459">
        <f t="shared" si="1"/>
        <v>0</v>
      </c>
      <c r="G16" s="457">
        <f t="shared" si="1"/>
        <v>4985360.970000001</v>
      </c>
      <c r="H16" s="458">
        <f t="shared" si="1"/>
        <v>0</v>
      </c>
      <c r="I16" s="459">
        <f t="shared" si="1"/>
        <v>0</v>
      </c>
      <c r="J16" s="19"/>
      <c r="K16" s="19">
        <f>SUM(K7:K15)</f>
        <v>0</v>
      </c>
      <c r="L16" s="19">
        <f>SUM(L7:L15)</f>
        <v>0</v>
      </c>
      <c r="M16" s="19">
        <f>SUM(M7:M15)</f>
        <v>0</v>
      </c>
    </row>
    <row r="17" spans="2:10" ht="13.5" thickBot="1">
      <c r="B17" s="58"/>
      <c r="C17" s="58"/>
      <c r="D17" s="361"/>
      <c r="E17" s="361"/>
      <c r="F17" s="361"/>
      <c r="G17" s="361"/>
      <c r="H17" s="361"/>
      <c r="I17" s="361"/>
      <c r="J17" s="19"/>
    </row>
    <row r="18" spans="2:10" ht="13.5" thickBot="1">
      <c r="B18" s="901"/>
      <c r="C18" s="896"/>
      <c r="D18" s="909"/>
      <c r="E18" s="910" t="s">
        <v>456</v>
      </c>
      <c r="F18" s="911"/>
      <c r="G18" s="909"/>
      <c r="H18" s="898" t="s">
        <v>620</v>
      </c>
      <c r="I18" s="911"/>
      <c r="J18" s="19"/>
    </row>
    <row r="19" spans="2:10" ht="27" customHeight="1" thickBot="1">
      <c r="B19" s="902" t="s">
        <v>15</v>
      </c>
      <c r="C19" s="894" t="s">
        <v>12</v>
      </c>
      <c r="D19" s="883" t="s">
        <v>13</v>
      </c>
      <c r="E19" s="912" t="s">
        <v>14</v>
      </c>
      <c r="F19" s="884" t="s">
        <v>121</v>
      </c>
      <c r="G19" s="883" t="s">
        <v>13</v>
      </c>
      <c r="H19" s="912" t="s">
        <v>14</v>
      </c>
      <c r="I19" s="884" t="s">
        <v>121</v>
      </c>
      <c r="J19" s="19"/>
    </row>
    <row r="20" spans="2:13" ht="12.75">
      <c r="B20" s="900"/>
      <c r="C20" s="908"/>
      <c r="D20" s="463">
        <v>241</v>
      </c>
      <c r="E20" s="464">
        <v>245</v>
      </c>
      <c r="F20" s="465">
        <v>243</v>
      </c>
      <c r="G20" s="463">
        <v>241</v>
      </c>
      <c r="H20" s="464">
        <v>245</v>
      </c>
      <c r="I20" s="465">
        <v>243</v>
      </c>
      <c r="J20" s="19"/>
      <c r="K20" s="1" t="s">
        <v>444</v>
      </c>
      <c r="L20" s="1" t="s">
        <v>445</v>
      </c>
      <c r="M20" s="1" t="s">
        <v>446</v>
      </c>
    </row>
    <row r="21" spans="2:13" ht="12.75">
      <c r="B21" s="903" t="s">
        <v>330</v>
      </c>
      <c r="C21" s="131">
        <v>412</v>
      </c>
      <c r="D21" s="453"/>
      <c r="E21" s="354"/>
      <c r="F21" s="355">
        <v>1717748</v>
      </c>
      <c r="G21" s="453"/>
      <c r="H21" s="354"/>
      <c r="I21" s="355">
        <v>1770010</v>
      </c>
      <c r="J21" s="19"/>
      <c r="K21" s="19"/>
      <c r="L21" s="19"/>
      <c r="M21" s="19">
        <f>K21-L21</f>
        <v>0</v>
      </c>
    </row>
    <row r="22" spans="2:13" ht="12.75">
      <c r="B22" s="903" t="s">
        <v>201</v>
      </c>
      <c r="C22" s="131">
        <v>412</v>
      </c>
      <c r="D22" s="380"/>
      <c r="E22" s="356"/>
      <c r="F22" s="357">
        <v>1381579.43</v>
      </c>
      <c r="G22" s="380"/>
      <c r="H22" s="356"/>
      <c r="I22" s="357">
        <v>114622.43</v>
      </c>
      <c r="J22" s="19"/>
      <c r="K22" s="19"/>
      <c r="L22" s="19"/>
      <c r="M22" s="19">
        <f aca="true" t="shared" si="2" ref="M22:M29">K22-L22</f>
        <v>0</v>
      </c>
    </row>
    <row r="23" spans="2:13" ht="12.75">
      <c r="B23" s="903" t="s">
        <v>331</v>
      </c>
      <c r="C23" s="131">
        <v>412</v>
      </c>
      <c r="D23" s="380"/>
      <c r="E23" s="356"/>
      <c r="F23" s="357">
        <v>95377.62</v>
      </c>
      <c r="G23" s="380"/>
      <c r="H23" s="356"/>
      <c r="I23" s="357">
        <v>254532.62</v>
      </c>
      <c r="J23" s="19"/>
      <c r="K23" s="19"/>
      <c r="L23" s="19"/>
      <c r="M23" s="19">
        <f t="shared" si="2"/>
        <v>0</v>
      </c>
    </row>
    <row r="24" spans="2:13" ht="12.75">
      <c r="B24" s="903" t="s">
        <v>332</v>
      </c>
      <c r="C24" s="131">
        <v>412</v>
      </c>
      <c r="D24" s="380"/>
      <c r="E24" s="356"/>
      <c r="F24" s="357">
        <v>93445.83</v>
      </c>
      <c r="G24" s="380"/>
      <c r="H24" s="356"/>
      <c r="I24" s="357">
        <v>160038.13</v>
      </c>
      <c r="J24" s="19"/>
      <c r="K24" s="19"/>
      <c r="L24" s="19"/>
      <c r="M24" s="19">
        <f t="shared" si="2"/>
        <v>0</v>
      </c>
    </row>
    <row r="25" spans="2:13" ht="12.75">
      <c r="B25" s="904" t="s">
        <v>333</v>
      </c>
      <c r="C25" s="131">
        <v>412</v>
      </c>
      <c r="D25" s="454"/>
      <c r="E25" s="358"/>
      <c r="F25" s="357">
        <v>0</v>
      </c>
      <c r="G25" s="454"/>
      <c r="H25" s="356"/>
      <c r="I25" s="357"/>
      <c r="J25" s="19"/>
      <c r="K25" s="19"/>
      <c r="L25" s="19"/>
      <c r="M25" s="19">
        <f t="shared" si="2"/>
        <v>0</v>
      </c>
    </row>
    <row r="26" spans="2:13" ht="12.75">
      <c r="B26" s="904" t="s">
        <v>334</v>
      </c>
      <c r="C26" s="131">
        <v>412</v>
      </c>
      <c r="D26" s="466"/>
      <c r="E26" s="358"/>
      <c r="F26" s="357">
        <v>193627.62</v>
      </c>
      <c r="G26" s="455"/>
      <c r="H26" s="359"/>
      <c r="I26" s="585">
        <v>302670.09</v>
      </c>
      <c r="J26" s="19"/>
      <c r="K26" s="19"/>
      <c r="L26" s="19"/>
      <c r="M26" s="19">
        <f t="shared" si="2"/>
        <v>0</v>
      </c>
    </row>
    <row r="27" spans="2:13" ht="12.75">
      <c r="B27" s="904" t="s">
        <v>202</v>
      </c>
      <c r="C27" s="131">
        <v>412</v>
      </c>
      <c r="D27" s="380"/>
      <c r="E27" s="356"/>
      <c r="F27" s="357">
        <v>127994.8</v>
      </c>
      <c r="G27" s="380"/>
      <c r="H27" s="356"/>
      <c r="I27" s="357">
        <v>161558.43</v>
      </c>
      <c r="J27" s="19"/>
      <c r="K27" s="19"/>
      <c r="L27" s="19"/>
      <c r="M27" s="19">
        <f t="shared" si="2"/>
        <v>0</v>
      </c>
    </row>
    <row r="28" spans="2:13" ht="12.75">
      <c r="B28" s="903" t="s">
        <v>3</v>
      </c>
      <c r="C28" s="131">
        <v>412</v>
      </c>
      <c r="D28" s="380"/>
      <c r="E28" s="356"/>
      <c r="F28" s="357">
        <v>21748.09</v>
      </c>
      <c r="G28" s="380"/>
      <c r="H28" s="356"/>
      <c r="I28" s="357">
        <v>22028.09</v>
      </c>
      <c r="J28" s="19"/>
      <c r="K28" s="19"/>
      <c r="L28" s="19"/>
      <c r="M28" s="19">
        <f t="shared" si="2"/>
        <v>0</v>
      </c>
    </row>
    <row r="29" spans="2:13" ht="13.5" thickBot="1">
      <c r="B29" s="905" t="s">
        <v>443</v>
      </c>
      <c r="C29" s="140">
        <v>412</v>
      </c>
      <c r="D29" s="380"/>
      <c r="E29" s="358"/>
      <c r="F29" s="360">
        <v>6588</v>
      </c>
      <c r="G29" s="380"/>
      <c r="H29" s="358"/>
      <c r="I29" s="360">
        <v>5536</v>
      </c>
      <c r="J29" s="19"/>
      <c r="K29" s="19"/>
      <c r="L29" s="19"/>
      <c r="M29" s="19">
        <f t="shared" si="2"/>
        <v>0</v>
      </c>
    </row>
    <row r="30" spans="2:13" ht="13.5" thickBot="1">
      <c r="B30" s="906" t="s">
        <v>10</v>
      </c>
      <c r="C30" s="141">
        <v>412</v>
      </c>
      <c r="D30" s="457">
        <f aca="true" t="shared" si="3" ref="D30:I30">SUM(D21:D29)</f>
        <v>0</v>
      </c>
      <c r="E30" s="458">
        <f t="shared" si="3"/>
        <v>0</v>
      </c>
      <c r="F30" s="459">
        <f t="shared" si="3"/>
        <v>3638109.3899999997</v>
      </c>
      <c r="G30" s="457">
        <f t="shared" si="3"/>
        <v>0</v>
      </c>
      <c r="H30" s="458">
        <f t="shared" si="3"/>
        <v>0</v>
      </c>
      <c r="I30" s="459">
        <f t="shared" si="3"/>
        <v>2790995.7899999996</v>
      </c>
      <c r="J30" s="19"/>
      <c r="K30" s="19">
        <f>SUM(K21:K29)</f>
        <v>0</v>
      </c>
      <c r="L30" s="19">
        <f>SUM(L21:L29)</f>
        <v>0</v>
      </c>
      <c r="M30" s="19">
        <f>SUM(M21:M29)</f>
        <v>0</v>
      </c>
    </row>
    <row r="31" spans="2:12" ht="13.5" thickBot="1">
      <c r="B31" s="58"/>
      <c r="C31" s="58"/>
      <c r="D31" s="361"/>
      <c r="E31" s="361"/>
      <c r="F31" s="361"/>
      <c r="G31" s="361"/>
      <c r="H31" s="361"/>
      <c r="I31" s="361"/>
      <c r="J31" s="19"/>
      <c r="K31" s="19"/>
      <c r="L31" s="19"/>
    </row>
    <row r="32" spans="2:10" ht="13.5" thickBot="1">
      <c r="B32" s="124"/>
      <c r="C32" s="125"/>
      <c r="D32" s="362"/>
      <c r="E32" s="363" t="s">
        <v>456</v>
      </c>
      <c r="F32" s="364"/>
      <c r="G32" s="362"/>
      <c r="H32" s="61" t="s">
        <v>620</v>
      </c>
      <c r="I32" s="364"/>
      <c r="J32" s="19"/>
    </row>
    <row r="33" spans="2:10" ht="27" customHeight="1" thickBot="1">
      <c r="B33" s="126" t="s">
        <v>5</v>
      </c>
      <c r="C33" s="127" t="s">
        <v>12</v>
      </c>
      <c r="D33" s="460" t="s">
        <v>13</v>
      </c>
      <c r="E33" s="461" t="s">
        <v>14</v>
      </c>
      <c r="F33" s="462" t="s">
        <v>121</v>
      </c>
      <c r="G33" s="460" t="s">
        <v>13</v>
      </c>
      <c r="H33" s="461" t="s">
        <v>14</v>
      </c>
      <c r="I33" s="462" t="s">
        <v>121</v>
      </c>
      <c r="J33" s="19"/>
    </row>
    <row r="34" spans="2:13" ht="12.75">
      <c r="B34" s="128"/>
      <c r="C34" s="129"/>
      <c r="D34" s="463">
        <v>241</v>
      </c>
      <c r="E34" s="464">
        <v>245</v>
      </c>
      <c r="F34" s="465">
        <v>243</v>
      </c>
      <c r="G34" s="463">
        <v>241</v>
      </c>
      <c r="H34" s="464">
        <v>245</v>
      </c>
      <c r="I34" s="465">
        <v>243</v>
      </c>
      <c r="J34" s="19"/>
      <c r="K34" s="1" t="s">
        <v>444</v>
      </c>
      <c r="L34" s="1" t="s">
        <v>445</v>
      </c>
      <c r="M34" s="1" t="s">
        <v>446</v>
      </c>
    </row>
    <row r="35" spans="2:13" ht="12.75">
      <c r="B35" s="221" t="s">
        <v>330</v>
      </c>
      <c r="C35" s="219" t="s">
        <v>351</v>
      </c>
      <c r="D35" s="453">
        <v>6321168.92</v>
      </c>
      <c r="E35" s="354"/>
      <c r="F35" s="355"/>
      <c r="G35" s="453">
        <v>5647723.27</v>
      </c>
      <c r="H35" s="354"/>
      <c r="I35" s="355"/>
      <c r="J35" s="19"/>
      <c r="K35" s="19"/>
      <c r="L35" s="19"/>
      <c r="M35" s="19">
        <f>K35-L35</f>
        <v>0</v>
      </c>
    </row>
    <row r="36" spans="2:13" ht="12.75">
      <c r="B36" s="221" t="s">
        <v>201</v>
      </c>
      <c r="C36" s="219" t="s">
        <v>351</v>
      </c>
      <c r="D36" s="380">
        <v>1397129.85</v>
      </c>
      <c r="E36" s="356"/>
      <c r="F36" s="357"/>
      <c r="G36" s="380">
        <v>495516.98</v>
      </c>
      <c r="H36" s="356"/>
      <c r="I36" s="357"/>
      <c r="J36" s="19"/>
      <c r="K36" s="19"/>
      <c r="L36" s="19"/>
      <c r="M36" s="19">
        <f aca="true" t="shared" si="4" ref="M36:M43">K36-L36</f>
        <v>0</v>
      </c>
    </row>
    <row r="37" spans="2:13" ht="12.75">
      <c r="B37" s="221" t="s">
        <v>331</v>
      </c>
      <c r="C37" s="219" t="s">
        <v>351</v>
      </c>
      <c r="D37" s="380">
        <v>3844951.36</v>
      </c>
      <c r="E37" s="356"/>
      <c r="F37" s="357"/>
      <c r="G37" s="380">
        <v>2912316.65</v>
      </c>
      <c r="H37" s="356"/>
      <c r="I37" s="357"/>
      <c r="J37" s="19"/>
      <c r="K37" s="19"/>
      <c r="L37" s="19"/>
      <c r="M37" s="19">
        <f t="shared" si="4"/>
        <v>0</v>
      </c>
    </row>
    <row r="38" spans="2:13" ht="12.75">
      <c r="B38" s="221" t="s">
        <v>332</v>
      </c>
      <c r="C38" s="219" t="s">
        <v>351</v>
      </c>
      <c r="D38" s="380">
        <v>416774.71</v>
      </c>
      <c r="E38" s="356"/>
      <c r="F38" s="357"/>
      <c r="G38" s="380">
        <v>405637.70999999996</v>
      </c>
      <c r="H38" s="356"/>
      <c r="I38" s="357"/>
      <c r="J38" s="19"/>
      <c r="K38" s="19"/>
      <c r="L38" s="19"/>
      <c r="M38" s="19">
        <f t="shared" si="4"/>
        <v>0</v>
      </c>
    </row>
    <row r="39" spans="2:13" ht="12.75">
      <c r="B39" s="222" t="s">
        <v>333</v>
      </c>
      <c r="C39" s="219" t="s">
        <v>351</v>
      </c>
      <c r="D39" s="454">
        <v>72671.75</v>
      </c>
      <c r="E39" s="358"/>
      <c r="F39" s="357"/>
      <c r="G39" s="454">
        <v>174053.88</v>
      </c>
      <c r="H39" s="356"/>
      <c r="I39" s="357"/>
      <c r="J39" s="19"/>
      <c r="K39" s="19"/>
      <c r="L39" s="19"/>
      <c r="M39" s="19">
        <f t="shared" si="4"/>
        <v>0</v>
      </c>
    </row>
    <row r="40" spans="2:13" ht="12.75">
      <c r="B40" s="222" t="s">
        <v>334</v>
      </c>
      <c r="C40" s="219" t="s">
        <v>351</v>
      </c>
      <c r="D40" s="455">
        <v>25876253.22</v>
      </c>
      <c r="E40" s="358"/>
      <c r="F40" s="456"/>
      <c r="G40" s="455">
        <v>24350254.4</v>
      </c>
      <c r="H40" s="359"/>
      <c r="I40" s="456"/>
      <c r="J40" s="19"/>
      <c r="K40" s="19"/>
      <c r="L40" s="19"/>
      <c r="M40" s="19">
        <f t="shared" si="4"/>
        <v>0</v>
      </c>
    </row>
    <row r="41" spans="2:13" ht="12.75">
      <c r="B41" s="222" t="s">
        <v>202</v>
      </c>
      <c r="C41" s="219" t="s">
        <v>351</v>
      </c>
      <c r="D41" s="380">
        <v>13202467.4</v>
      </c>
      <c r="E41" s="356"/>
      <c r="F41" s="357"/>
      <c r="G41" s="380">
        <v>19209577.6</v>
      </c>
      <c r="H41" s="356"/>
      <c r="I41" s="357"/>
      <c r="J41" s="19"/>
      <c r="K41" s="19"/>
      <c r="L41" s="19"/>
      <c r="M41" s="19">
        <f t="shared" si="4"/>
        <v>0</v>
      </c>
    </row>
    <row r="42" spans="2:13" ht="12.75">
      <c r="B42" s="221" t="s">
        <v>3</v>
      </c>
      <c r="C42" s="219" t="s">
        <v>351</v>
      </c>
      <c r="D42" s="380">
        <v>2155618.8</v>
      </c>
      <c r="E42" s="356"/>
      <c r="F42" s="357"/>
      <c r="G42" s="380">
        <v>2542140.39</v>
      </c>
      <c r="H42" s="356"/>
      <c r="I42" s="357"/>
      <c r="J42" s="19"/>
      <c r="K42" s="19"/>
      <c r="L42" s="19"/>
      <c r="M42" s="19">
        <f t="shared" si="4"/>
        <v>0</v>
      </c>
    </row>
    <row r="43" spans="2:13" ht="13.5" thickBot="1">
      <c r="B43" s="223" t="s">
        <v>443</v>
      </c>
      <c r="C43" s="220" t="s">
        <v>351</v>
      </c>
      <c r="D43" s="380">
        <v>337567.75</v>
      </c>
      <c r="E43" s="358"/>
      <c r="F43" s="360"/>
      <c r="G43" s="380">
        <v>444639.87</v>
      </c>
      <c r="H43" s="358"/>
      <c r="I43" s="360"/>
      <c r="J43" s="19"/>
      <c r="K43" s="19"/>
      <c r="L43" s="19"/>
      <c r="M43" s="19">
        <f t="shared" si="4"/>
        <v>0</v>
      </c>
    </row>
    <row r="44" spans="2:13" ht="13.5" thickBot="1">
      <c r="B44" s="122" t="s">
        <v>10</v>
      </c>
      <c r="C44" s="449" t="s">
        <v>351</v>
      </c>
      <c r="D44" s="457">
        <f aca="true" t="shared" si="5" ref="D44:I44">SUM(D35:D43)</f>
        <v>53624603.76</v>
      </c>
      <c r="E44" s="458">
        <f t="shared" si="5"/>
        <v>0</v>
      </c>
      <c r="F44" s="459">
        <f t="shared" si="5"/>
        <v>0</v>
      </c>
      <c r="G44" s="457">
        <f t="shared" si="5"/>
        <v>56181860.75</v>
      </c>
      <c r="H44" s="458">
        <f t="shared" si="5"/>
        <v>0</v>
      </c>
      <c r="I44" s="459">
        <f t="shared" si="5"/>
        <v>0</v>
      </c>
      <c r="J44" s="19"/>
      <c r="K44" s="19">
        <f>SUM(K35:K43)</f>
        <v>0</v>
      </c>
      <c r="L44" s="19">
        <f>SUM(L35:L43)</f>
        <v>0</v>
      </c>
      <c r="M44" s="19">
        <f>SUM(M35:M43)</f>
        <v>0</v>
      </c>
    </row>
    <row r="45" spans="2:10" ht="13.5" thickBot="1">
      <c r="B45" s="58"/>
      <c r="C45" s="58"/>
      <c r="D45" s="361"/>
      <c r="E45" s="361"/>
      <c r="F45" s="361"/>
      <c r="G45" s="361"/>
      <c r="H45" s="361"/>
      <c r="I45" s="361"/>
      <c r="J45" s="19"/>
    </row>
    <row r="46" spans="2:10" ht="13.5" thickBot="1">
      <c r="B46" s="124"/>
      <c r="C46" s="125"/>
      <c r="D46" s="362"/>
      <c r="E46" s="363" t="s">
        <v>456</v>
      </c>
      <c r="F46" s="364"/>
      <c r="G46" s="362"/>
      <c r="H46" s="61" t="s">
        <v>620</v>
      </c>
      <c r="I46" s="364"/>
      <c r="J46" s="19"/>
    </row>
    <row r="47" spans="2:10" ht="27" customHeight="1" thickBot="1">
      <c r="B47" s="126" t="s">
        <v>7</v>
      </c>
      <c r="C47" s="127" t="s">
        <v>12</v>
      </c>
      <c r="D47" s="460" t="s">
        <v>13</v>
      </c>
      <c r="E47" s="461" t="s">
        <v>14</v>
      </c>
      <c r="F47" s="462" t="s">
        <v>121</v>
      </c>
      <c r="G47" s="460" t="s">
        <v>13</v>
      </c>
      <c r="H47" s="461" t="s">
        <v>14</v>
      </c>
      <c r="I47" s="462" t="s">
        <v>121</v>
      </c>
      <c r="J47" s="19"/>
    </row>
    <row r="48" spans="2:13" ht="12.75">
      <c r="B48" s="128"/>
      <c r="C48" s="129"/>
      <c r="D48" s="463">
        <v>241</v>
      </c>
      <c r="E48" s="464">
        <v>245</v>
      </c>
      <c r="F48" s="465">
        <v>243</v>
      </c>
      <c r="G48" s="463">
        <v>241</v>
      </c>
      <c r="H48" s="464">
        <v>245</v>
      </c>
      <c r="I48" s="465">
        <v>243</v>
      </c>
      <c r="J48" s="19"/>
      <c r="K48" s="1" t="s">
        <v>444</v>
      </c>
      <c r="L48" s="1" t="s">
        <v>445</v>
      </c>
      <c r="M48" s="1" t="s">
        <v>446</v>
      </c>
    </row>
    <row r="49" spans="2:13" ht="12.75">
      <c r="B49" s="221" t="s">
        <v>330</v>
      </c>
      <c r="C49" s="219">
        <v>416</v>
      </c>
      <c r="D49" s="453">
        <v>16994853.46</v>
      </c>
      <c r="E49" s="354"/>
      <c r="F49" s="355"/>
      <c r="G49" s="453">
        <v>15941400.17</v>
      </c>
      <c r="H49" s="354"/>
      <c r="I49" s="355"/>
      <c r="J49" s="19"/>
      <c r="K49" s="19"/>
      <c r="L49" s="19"/>
      <c r="M49" s="19">
        <f>K49-L49</f>
        <v>0</v>
      </c>
    </row>
    <row r="50" spans="2:13" ht="12.75">
      <c r="B50" s="221" t="s">
        <v>201</v>
      </c>
      <c r="C50" s="219">
        <v>416</v>
      </c>
      <c r="D50" s="380">
        <v>2846395.91</v>
      </c>
      <c r="E50" s="356"/>
      <c r="F50" s="357"/>
      <c r="G50" s="380">
        <v>4108693.87</v>
      </c>
      <c r="H50" s="356"/>
      <c r="I50" s="357"/>
      <c r="J50" s="19"/>
      <c r="K50" s="19"/>
      <c r="L50" s="19"/>
      <c r="M50" s="19">
        <f aca="true" t="shared" si="6" ref="M50:M57">K50-L50</f>
        <v>0</v>
      </c>
    </row>
    <row r="51" spans="2:13" ht="12.75">
      <c r="B51" s="221" t="s">
        <v>331</v>
      </c>
      <c r="C51" s="219">
        <v>416</v>
      </c>
      <c r="D51" s="380">
        <v>6684244.3</v>
      </c>
      <c r="E51" s="356"/>
      <c r="F51" s="357"/>
      <c r="G51" s="380">
        <v>6761851.19</v>
      </c>
      <c r="H51" s="356"/>
      <c r="I51" s="357"/>
      <c r="J51" s="19"/>
      <c r="K51" s="19"/>
      <c r="L51" s="19"/>
      <c r="M51" s="19">
        <f t="shared" si="6"/>
        <v>0</v>
      </c>
    </row>
    <row r="52" spans="2:13" ht="12.75">
      <c r="B52" s="221" t="s">
        <v>332</v>
      </c>
      <c r="C52" s="219">
        <v>416</v>
      </c>
      <c r="D52" s="380">
        <v>60525852.15</v>
      </c>
      <c r="E52" s="356"/>
      <c r="F52" s="357"/>
      <c r="G52" s="380">
        <v>81096786.53</v>
      </c>
      <c r="H52" s="356"/>
      <c r="I52" s="357"/>
      <c r="J52" s="19"/>
      <c r="K52" s="19"/>
      <c r="L52" s="19"/>
      <c r="M52" s="19">
        <f t="shared" si="6"/>
        <v>0</v>
      </c>
    </row>
    <row r="53" spans="2:13" ht="12.75">
      <c r="B53" s="222" t="s">
        <v>333</v>
      </c>
      <c r="C53" s="219">
        <v>416</v>
      </c>
      <c r="D53" s="454">
        <v>454604.1</v>
      </c>
      <c r="E53" s="356"/>
      <c r="F53" s="357"/>
      <c r="G53" s="454">
        <v>454604.1</v>
      </c>
      <c r="H53" s="356"/>
      <c r="I53" s="357"/>
      <c r="J53" s="19"/>
      <c r="K53" s="19"/>
      <c r="L53" s="19"/>
      <c r="M53" s="19">
        <f t="shared" si="6"/>
        <v>0</v>
      </c>
    </row>
    <row r="54" spans="2:13" ht="12.75">
      <c r="B54" s="222" t="s">
        <v>334</v>
      </c>
      <c r="C54" s="219">
        <v>416</v>
      </c>
      <c r="D54" s="455">
        <v>45538702.94</v>
      </c>
      <c r="E54" s="356"/>
      <c r="F54" s="456"/>
      <c r="G54" s="455">
        <v>46756938.5</v>
      </c>
      <c r="H54" s="359"/>
      <c r="I54" s="456"/>
      <c r="J54" s="19"/>
      <c r="K54" s="19"/>
      <c r="L54" s="19"/>
      <c r="M54" s="19">
        <f t="shared" si="6"/>
        <v>0</v>
      </c>
    </row>
    <row r="55" spans="2:13" ht="12.75">
      <c r="B55" s="222" t="s">
        <v>202</v>
      </c>
      <c r="C55" s="219">
        <v>416</v>
      </c>
      <c r="D55" s="380">
        <v>26098610.28</v>
      </c>
      <c r="E55" s="356"/>
      <c r="F55" s="357"/>
      <c r="G55" s="380">
        <v>22616328</v>
      </c>
      <c r="H55" s="356"/>
      <c r="I55" s="357"/>
      <c r="J55" s="19"/>
      <c r="K55" s="19"/>
      <c r="L55" s="19"/>
      <c r="M55" s="19">
        <f t="shared" si="6"/>
        <v>0</v>
      </c>
    </row>
    <row r="56" spans="2:13" ht="12.75">
      <c r="B56" s="22" t="s">
        <v>3</v>
      </c>
      <c r="C56" s="219">
        <v>416</v>
      </c>
      <c r="D56" s="380">
        <v>339573.82</v>
      </c>
      <c r="E56" s="356"/>
      <c r="F56" s="357"/>
      <c r="G56" s="380">
        <v>622485</v>
      </c>
      <c r="H56" s="356"/>
      <c r="I56" s="357"/>
      <c r="J56" s="19"/>
      <c r="K56" s="19"/>
      <c r="L56" s="19"/>
      <c r="M56" s="19">
        <f t="shared" si="6"/>
        <v>0</v>
      </c>
    </row>
    <row r="57" spans="2:13" ht="13.5" thickBot="1">
      <c r="B57" s="224" t="s">
        <v>443</v>
      </c>
      <c r="C57" s="220">
        <v>416</v>
      </c>
      <c r="D57" s="380">
        <v>271985</v>
      </c>
      <c r="E57" s="358"/>
      <c r="F57" s="360"/>
      <c r="G57" s="380">
        <v>379889</v>
      </c>
      <c r="H57" s="358"/>
      <c r="I57" s="360"/>
      <c r="J57" s="19"/>
      <c r="K57" s="19"/>
      <c r="L57" s="19"/>
      <c r="M57" s="19">
        <f t="shared" si="6"/>
        <v>0</v>
      </c>
    </row>
    <row r="58" spans="2:13" ht="13.5" thickBot="1">
      <c r="B58" s="9" t="s">
        <v>10</v>
      </c>
      <c r="C58" s="449">
        <v>416</v>
      </c>
      <c r="D58" s="457">
        <f aca="true" t="shared" si="7" ref="D58:I58">SUM(D49:D57)</f>
        <v>159754821.95999998</v>
      </c>
      <c r="E58" s="458">
        <f t="shared" si="7"/>
        <v>0</v>
      </c>
      <c r="F58" s="459">
        <f t="shared" si="7"/>
        <v>0</v>
      </c>
      <c r="G58" s="457">
        <f t="shared" si="7"/>
        <v>178738976.36</v>
      </c>
      <c r="H58" s="458">
        <f t="shared" si="7"/>
        <v>0</v>
      </c>
      <c r="I58" s="459">
        <f t="shared" si="7"/>
        <v>0</v>
      </c>
      <c r="J58" s="19"/>
      <c r="K58" s="19">
        <f>SUM(K49:K57)</f>
        <v>0</v>
      </c>
      <c r="L58" s="19">
        <f>SUM(L49:L57)</f>
        <v>0</v>
      </c>
      <c r="M58" s="19">
        <f>SUM(M49:M57)</f>
        <v>0</v>
      </c>
    </row>
    <row r="59" spans="4:10" ht="12" customHeight="1" thickBot="1">
      <c r="D59" s="361"/>
      <c r="E59" s="361"/>
      <c r="F59" s="361"/>
      <c r="G59" s="361"/>
      <c r="H59" s="361"/>
      <c r="I59" s="361"/>
      <c r="J59" s="19"/>
    </row>
    <row r="60" spans="2:10" ht="21.75" customHeight="1" thickBot="1">
      <c r="B60" s="14"/>
      <c r="C60" s="15"/>
      <c r="D60" s="362"/>
      <c r="E60" s="363" t="s">
        <v>456</v>
      </c>
      <c r="F60" s="364"/>
      <c r="G60" s="362"/>
      <c r="H60" s="61" t="s">
        <v>620</v>
      </c>
      <c r="I60" s="364"/>
      <c r="J60" s="19"/>
    </row>
    <row r="61" spans="2:10" ht="42.75" customHeight="1" thickBot="1">
      <c r="B61" s="17" t="s">
        <v>16</v>
      </c>
      <c r="C61" s="18" t="s">
        <v>12</v>
      </c>
      <c r="D61" s="460" t="s">
        <v>13</v>
      </c>
      <c r="E61" s="461" t="s">
        <v>14</v>
      </c>
      <c r="F61" s="462" t="s">
        <v>121</v>
      </c>
      <c r="G61" s="460" t="s">
        <v>13</v>
      </c>
      <c r="H61" s="461" t="s">
        <v>14</v>
      </c>
      <c r="I61" s="462" t="s">
        <v>121</v>
      </c>
      <c r="J61" s="19"/>
    </row>
    <row r="62" spans="2:13" ht="12.75">
      <c r="B62" s="21"/>
      <c r="C62" s="105"/>
      <c r="D62" s="463">
        <v>241</v>
      </c>
      <c r="E62" s="464">
        <v>245</v>
      </c>
      <c r="F62" s="465">
        <v>243</v>
      </c>
      <c r="G62" s="463">
        <v>241</v>
      </c>
      <c r="H62" s="464">
        <v>245</v>
      </c>
      <c r="I62" s="465">
        <v>243</v>
      </c>
      <c r="J62" s="19"/>
      <c r="K62" s="1" t="s">
        <v>444</v>
      </c>
      <c r="L62" s="1" t="s">
        <v>445</v>
      </c>
      <c r="M62" s="1" t="s">
        <v>446</v>
      </c>
    </row>
    <row r="63" spans="2:13" ht="12.75">
      <c r="B63" s="22" t="s">
        <v>330</v>
      </c>
      <c r="C63" s="104"/>
      <c r="D63" s="365">
        <f aca="true" t="shared" si="8" ref="D63:I71">D7+D21+D35+D49</f>
        <v>24083731.52</v>
      </c>
      <c r="E63" s="467">
        <f t="shared" si="8"/>
        <v>0</v>
      </c>
      <c r="F63" s="468">
        <f t="shared" si="8"/>
        <v>1717748</v>
      </c>
      <c r="G63" s="365">
        <f t="shared" si="8"/>
        <v>22375723.58</v>
      </c>
      <c r="H63" s="467">
        <f t="shared" si="8"/>
        <v>0</v>
      </c>
      <c r="I63" s="468">
        <f t="shared" si="8"/>
        <v>1770010</v>
      </c>
      <c r="J63" s="19"/>
      <c r="K63" s="19"/>
      <c r="L63" s="19"/>
      <c r="M63" s="19">
        <f>K63-L63</f>
        <v>0</v>
      </c>
    </row>
    <row r="64" spans="2:13" ht="12.75">
      <c r="B64" s="22" t="s">
        <v>201</v>
      </c>
      <c r="C64" s="23"/>
      <c r="D64" s="366">
        <f t="shared" si="8"/>
        <v>5551718.61</v>
      </c>
      <c r="E64" s="469">
        <f t="shared" si="8"/>
        <v>0</v>
      </c>
      <c r="F64" s="470">
        <f t="shared" si="8"/>
        <v>1381579.43</v>
      </c>
      <c r="G64" s="366">
        <f t="shared" si="8"/>
        <v>5950294.7</v>
      </c>
      <c r="H64" s="469">
        <f t="shared" si="8"/>
        <v>0</v>
      </c>
      <c r="I64" s="470">
        <f t="shared" si="8"/>
        <v>114622.43</v>
      </c>
      <c r="J64" s="19"/>
      <c r="K64" s="19"/>
      <c r="L64" s="19"/>
      <c r="M64" s="19">
        <f aca="true" t="shared" si="9" ref="M64:M71">K64-L64</f>
        <v>0</v>
      </c>
    </row>
    <row r="65" spans="2:13" ht="12.75">
      <c r="B65" s="22" t="s">
        <v>331</v>
      </c>
      <c r="C65" s="23"/>
      <c r="D65" s="366">
        <f t="shared" si="8"/>
        <v>10529235.66</v>
      </c>
      <c r="E65" s="469">
        <f t="shared" si="8"/>
        <v>0</v>
      </c>
      <c r="F65" s="470">
        <f t="shared" si="8"/>
        <v>95377.62</v>
      </c>
      <c r="G65" s="366">
        <f t="shared" si="8"/>
        <v>9674167.84</v>
      </c>
      <c r="H65" s="469">
        <f t="shared" si="8"/>
        <v>0</v>
      </c>
      <c r="I65" s="470">
        <f t="shared" si="8"/>
        <v>254532.62</v>
      </c>
      <c r="J65" s="19"/>
      <c r="K65" s="19"/>
      <c r="L65" s="19"/>
      <c r="M65" s="19">
        <f t="shared" si="9"/>
        <v>0</v>
      </c>
    </row>
    <row r="66" spans="2:13" ht="12.75">
      <c r="B66" s="8" t="s">
        <v>332</v>
      </c>
      <c r="C66" s="25"/>
      <c r="D66" s="366">
        <f t="shared" si="8"/>
        <v>61399430.86</v>
      </c>
      <c r="E66" s="469">
        <f t="shared" si="8"/>
        <v>0</v>
      </c>
      <c r="F66" s="470">
        <f t="shared" si="8"/>
        <v>93445.83</v>
      </c>
      <c r="G66" s="366">
        <f t="shared" si="8"/>
        <v>81959228.24</v>
      </c>
      <c r="H66" s="469">
        <f t="shared" si="8"/>
        <v>0</v>
      </c>
      <c r="I66" s="470">
        <f t="shared" si="8"/>
        <v>160038.13</v>
      </c>
      <c r="J66" s="19"/>
      <c r="K66" s="19"/>
      <c r="L66" s="19"/>
      <c r="M66" s="19">
        <f t="shared" si="9"/>
        <v>0</v>
      </c>
    </row>
    <row r="67" spans="2:13" ht="12.75">
      <c r="B67" s="26" t="s">
        <v>333</v>
      </c>
      <c r="C67" s="25"/>
      <c r="D67" s="366">
        <f t="shared" si="8"/>
        <v>527275.85</v>
      </c>
      <c r="E67" s="469">
        <f t="shared" si="8"/>
        <v>0</v>
      </c>
      <c r="F67" s="470">
        <f t="shared" si="8"/>
        <v>0</v>
      </c>
      <c r="G67" s="366">
        <f t="shared" si="8"/>
        <v>628657.98</v>
      </c>
      <c r="H67" s="469">
        <f t="shared" si="8"/>
        <v>0</v>
      </c>
      <c r="I67" s="470">
        <f t="shared" si="8"/>
        <v>0</v>
      </c>
      <c r="J67" s="19"/>
      <c r="K67" s="19"/>
      <c r="L67" s="19"/>
      <c r="M67" s="19">
        <f t="shared" si="9"/>
        <v>0</v>
      </c>
    </row>
    <row r="68" spans="2:13" ht="12.75">
      <c r="B68" s="26" t="s">
        <v>334</v>
      </c>
      <c r="C68" s="25"/>
      <c r="D68" s="366">
        <f t="shared" si="8"/>
        <v>72615377.16</v>
      </c>
      <c r="E68" s="469">
        <f t="shared" si="8"/>
        <v>0</v>
      </c>
      <c r="F68" s="470">
        <f t="shared" si="8"/>
        <v>193627.62</v>
      </c>
      <c r="G68" s="366">
        <f t="shared" si="8"/>
        <v>72329264.9</v>
      </c>
      <c r="H68" s="469">
        <f t="shared" si="8"/>
        <v>0</v>
      </c>
      <c r="I68" s="470">
        <f t="shared" si="8"/>
        <v>302670.09</v>
      </c>
      <c r="J68" s="19"/>
      <c r="K68" s="19"/>
      <c r="L68" s="19"/>
      <c r="M68" s="19">
        <f t="shared" si="9"/>
        <v>0</v>
      </c>
    </row>
    <row r="69" spans="2:13" ht="12.75">
      <c r="B69" s="55" t="s">
        <v>202</v>
      </c>
      <c r="C69" s="25"/>
      <c r="D69" s="366">
        <f t="shared" si="8"/>
        <v>40016255.68</v>
      </c>
      <c r="E69" s="469">
        <f t="shared" si="8"/>
        <v>0</v>
      </c>
      <c r="F69" s="470">
        <f t="shared" si="8"/>
        <v>127994.8</v>
      </c>
      <c r="G69" s="366">
        <f t="shared" si="8"/>
        <v>42841798.6</v>
      </c>
      <c r="H69" s="469">
        <f t="shared" si="8"/>
        <v>0</v>
      </c>
      <c r="I69" s="470">
        <f t="shared" si="8"/>
        <v>161558.43</v>
      </c>
      <c r="J69" s="19"/>
      <c r="K69" s="19"/>
      <c r="L69" s="19"/>
      <c r="M69" s="19">
        <f t="shared" si="9"/>
        <v>0</v>
      </c>
    </row>
    <row r="70" spans="2:13" ht="12.75">
      <c r="B70" s="24" t="s">
        <v>3</v>
      </c>
      <c r="C70" s="25"/>
      <c r="D70" s="366">
        <f t="shared" si="8"/>
        <v>2577035.5999999996</v>
      </c>
      <c r="E70" s="469">
        <f t="shared" si="8"/>
        <v>0</v>
      </c>
      <c r="F70" s="470">
        <f t="shared" si="8"/>
        <v>21748.09</v>
      </c>
      <c r="G70" s="366">
        <f t="shared" si="8"/>
        <v>3258401.37</v>
      </c>
      <c r="H70" s="469">
        <f t="shared" si="8"/>
        <v>0</v>
      </c>
      <c r="I70" s="470">
        <f t="shared" si="8"/>
        <v>22028.09</v>
      </c>
      <c r="J70" s="19"/>
      <c r="K70" s="19"/>
      <c r="L70" s="19"/>
      <c r="M70" s="19">
        <f t="shared" si="9"/>
        <v>0</v>
      </c>
    </row>
    <row r="71" spans="2:13" ht="13.5" thickBot="1">
      <c r="B71" s="24" t="s">
        <v>443</v>
      </c>
      <c r="C71" s="27"/>
      <c r="D71" s="366">
        <f t="shared" si="8"/>
        <v>655991.75</v>
      </c>
      <c r="E71" s="469">
        <f t="shared" si="8"/>
        <v>0</v>
      </c>
      <c r="F71" s="470">
        <f t="shared" si="8"/>
        <v>6588</v>
      </c>
      <c r="G71" s="366">
        <f t="shared" si="8"/>
        <v>888660.87</v>
      </c>
      <c r="H71" s="469">
        <f t="shared" si="8"/>
        <v>0</v>
      </c>
      <c r="I71" s="470">
        <f t="shared" si="8"/>
        <v>5536</v>
      </c>
      <c r="J71" s="19"/>
      <c r="K71" s="19"/>
      <c r="L71" s="19"/>
      <c r="M71" s="19">
        <f t="shared" si="9"/>
        <v>0</v>
      </c>
    </row>
    <row r="72" spans="2:13" ht="13.5" thickBot="1">
      <c r="B72" s="9" t="s">
        <v>10</v>
      </c>
      <c r="C72" s="16"/>
      <c r="D72" s="457">
        <f aca="true" t="shared" si="10" ref="D72:I72">SUM(D63:D71)</f>
        <v>217956052.69</v>
      </c>
      <c r="E72" s="458">
        <f t="shared" si="10"/>
        <v>0</v>
      </c>
      <c r="F72" s="459">
        <f t="shared" si="10"/>
        <v>3638109.3899999997</v>
      </c>
      <c r="G72" s="457">
        <f t="shared" si="10"/>
        <v>239906198.08</v>
      </c>
      <c r="H72" s="458">
        <f t="shared" si="10"/>
        <v>0</v>
      </c>
      <c r="I72" s="459">
        <f t="shared" si="10"/>
        <v>2790995.7899999996</v>
      </c>
      <c r="J72" s="19"/>
      <c r="K72" s="19">
        <f>SUM(G72:I72)</f>
        <v>242697193.87</v>
      </c>
      <c r="L72" s="19">
        <f>SUM(L63:L71)</f>
        <v>0</v>
      </c>
      <c r="M72" s="19">
        <f>SUM(M63:M71)</f>
        <v>0</v>
      </c>
    </row>
    <row r="73" ht="12.75">
      <c r="J73" s="19"/>
    </row>
    <row r="74" spans="4:10" ht="12.75">
      <c r="D74" s="19">
        <f aca="true" t="shared" si="11" ref="D74:I74">D16+D30+D44+D58</f>
        <v>217956052.68999997</v>
      </c>
      <c r="E74" s="19">
        <f t="shared" si="11"/>
        <v>0</v>
      </c>
      <c r="F74" s="19">
        <f t="shared" si="11"/>
        <v>3638109.3899999997</v>
      </c>
      <c r="G74" s="19">
        <f>G16+G30+G44+G58</f>
        <v>239906198.08</v>
      </c>
      <c r="H74" s="19">
        <f t="shared" si="11"/>
        <v>0</v>
      </c>
      <c r="I74" s="19">
        <f t="shared" si="11"/>
        <v>2790995.7899999996</v>
      </c>
      <c r="J74" s="19"/>
    </row>
    <row r="75" spans="9:10" ht="12.75">
      <c r="I75" s="361"/>
      <c r="J75" s="19"/>
    </row>
    <row r="76" spans="8:10" ht="12.75">
      <c r="H76" s="361">
        <f>G74+I74</f>
        <v>242697193.87</v>
      </c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/>
    </row>
    <row r="82" ht="12.75">
      <c r="J82" s="19"/>
    </row>
    <row r="83" ht="12.75">
      <c r="J83" s="19"/>
    </row>
    <row r="84" ht="12.75">
      <c r="J84" s="19"/>
    </row>
  </sheetData>
  <sheetProtection/>
  <printOptions horizontalCentered="1" verticalCentered="1"/>
  <pageMargins left="0" right="0" top="0.3937007874015748" bottom="0.3937007874015748" header="0.1968503937007874" footer="0.5118110236220472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8.140625" style="0" customWidth="1"/>
    <col min="2" max="2" width="13.7109375" style="0" customWidth="1"/>
    <col min="3" max="3" width="13.28125" style="0" customWidth="1"/>
    <col min="4" max="4" width="11.140625" style="0" customWidth="1"/>
    <col min="5" max="5" width="12.8515625" style="0" customWidth="1"/>
    <col min="6" max="6" width="14.28125" style="0" customWidth="1"/>
    <col min="7" max="7" width="13.8515625" style="0" customWidth="1"/>
    <col min="8" max="8" width="15.7109375" style="0" customWidth="1"/>
    <col min="9" max="9" width="16.28125" style="0" customWidth="1"/>
  </cols>
  <sheetData>
    <row r="1" spans="1:9" ht="12.75">
      <c r="A1" s="39" t="s">
        <v>619</v>
      </c>
      <c r="I1" s="803" t="s">
        <v>629</v>
      </c>
    </row>
    <row r="2" ht="13.5" thickBot="1"/>
    <row r="3" spans="1:11" s="39" customFormat="1" ht="19.5" customHeight="1">
      <c r="A3" s="1038"/>
      <c r="B3" s="1040" t="s">
        <v>613</v>
      </c>
      <c r="C3" s="1042" t="s">
        <v>359</v>
      </c>
      <c r="D3" s="1042"/>
      <c r="E3" s="1042"/>
      <c r="F3" s="1042"/>
      <c r="G3" s="1042" t="s">
        <v>614</v>
      </c>
      <c r="H3" s="1044" t="s">
        <v>615</v>
      </c>
      <c r="I3" s="1046" t="s">
        <v>616</v>
      </c>
      <c r="J3" s="718"/>
      <c r="K3" s="718"/>
    </row>
    <row r="4" spans="1:10" s="39" customFormat="1" ht="26.25" thickBot="1">
      <c r="A4" s="1039"/>
      <c r="B4" s="1041"/>
      <c r="C4" s="832" t="s">
        <v>2</v>
      </c>
      <c r="D4" s="832" t="s">
        <v>15</v>
      </c>
      <c r="E4" s="832" t="s">
        <v>617</v>
      </c>
      <c r="F4" s="832" t="s">
        <v>618</v>
      </c>
      <c r="G4" s="1043"/>
      <c r="H4" s="1045"/>
      <c r="I4" s="1047"/>
      <c r="J4" s="718"/>
    </row>
    <row r="5" spans="1:9" ht="12.75">
      <c r="A5" s="913" t="s">
        <v>330</v>
      </c>
      <c r="B5" s="719">
        <f>C5+D5+E5+F5</f>
        <v>875045.75</v>
      </c>
      <c r="C5" s="720">
        <v>383529</v>
      </c>
      <c r="D5" s="720">
        <v>0</v>
      </c>
      <c r="E5" s="720">
        <v>301916.75</v>
      </c>
      <c r="F5" s="720">
        <v>189600</v>
      </c>
      <c r="G5" s="721">
        <v>5783273.88</v>
      </c>
      <c r="H5" s="722">
        <v>1122673374.84</v>
      </c>
      <c r="I5" s="723">
        <f>B5+G5+H5</f>
        <v>1129331694.47</v>
      </c>
    </row>
    <row r="6" spans="1:9" ht="12.75">
      <c r="A6" s="914" t="s">
        <v>201</v>
      </c>
      <c r="B6" s="724">
        <f aca="true" t="shared" si="0" ref="B6:B13">C6+D6+E6+F6</f>
        <v>2832974.68</v>
      </c>
      <c r="C6" s="313">
        <v>740662</v>
      </c>
      <c r="D6" s="313">
        <v>0</v>
      </c>
      <c r="E6" s="313">
        <v>1237008</v>
      </c>
      <c r="F6" s="313">
        <v>855304.68</v>
      </c>
      <c r="G6" s="725">
        <v>825423.28</v>
      </c>
      <c r="H6" s="726">
        <v>0</v>
      </c>
      <c r="I6" s="421">
        <f aca="true" t="shared" si="1" ref="I6:I13">B6+G6+H6</f>
        <v>3658397.96</v>
      </c>
    </row>
    <row r="7" spans="1:9" ht="12.75">
      <c r="A7" s="914" t="s">
        <v>331</v>
      </c>
      <c r="B7" s="724">
        <f t="shared" si="0"/>
        <v>3439952.21</v>
      </c>
      <c r="C7" s="313">
        <v>259480</v>
      </c>
      <c r="D7" s="313">
        <v>0</v>
      </c>
      <c r="E7" s="313">
        <v>1000000</v>
      </c>
      <c r="F7" s="313">
        <v>2180472.21</v>
      </c>
      <c r="G7" s="725">
        <v>532114.41</v>
      </c>
      <c r="H7" s="726">
        <v>0</v>
      </c>
      <c r="I7" s="421">
        <f t="shared" si="1"/>
        <v>3972066.62</v>
      </c>
    </row>
    <row r="8" spans="1:9" ht="12.75">
      <c r="A8" s="914" t="s">
        <v>332</v>
      </c>
      <c r="B8" s="724">
        <f>C8+D8+E8+F8</f>
        <v>1078997.25</v>
      </c>
      <c r="C8" s="313">
        <v>0</v>
      </c>
      <c r="D8" s="313">
        <v>0</v>
      </c>
      <c r="E8" s="313">
        <v>20501</v>
      </c>
      <c r="F8" s="313">
        <v>1058496.25</v>
      </c>
      <c r="G8" s="725">
        <v>7839565.63</v>
      </c>
      <c r="H8" s="726">
        <v>0</v>
      </c>
      <c r="I8" s="421">
        <f t="shared" si="1"/>
        <v>8918562.879999999</v>
      </c>
    </row>
    <row r="9" spans="1:9" ht="12.75">
      <c r="A9" s="914" t="s">
        <v>333</v>
      </c>
      <c r="B9" s="724">
        <f t="shared" si="0"/>
        <v>0</v>
      </c>
      <c r="C9" s="313">
        <v>0</v>
      </c>
      <c r="D9" s="313">
        <v>0</v>
      </c>
      <c r="E9" s="313">
        <v>0</v>
      </c>
      <c r="F9" s="313">
        <v>0</v>
      </c>
      <c r="G9" s="725">
        <v>0</v>
      </c>
      <c r="H9" s="726">
        <v>0</v>
      </c>
      <c r="I9" s="421">
        <f t="shared" si="1"/>
        <v>0</v>
      </c>
    </row>
    <row r="10" spans="1:9" ht="12.75">
      <c r="A10" s="914" t="s">
        <v>334</v>
      </c>
      <c r="B10" s="724">
        <f t="shared" si="0"/>
        <v>6937120.18</v>
      </c>
      <c r="C10" s="313">
        <v>533318</v>
      </c>
      <c r="D10" s="313">
        <v>0</v>
      </c>
      <c r="E10" s="313">
        <f>498058+191569+517969</f>
        <v>1207596</v>
      </c>
      <c r="F10" s="313">
        <v>5196206.18</v>
      </c>
      <c r="G10" s="725">
        <v>675941.98</v>
      </c>
      <c r="H10" s="726">
        <v>4517718.29</v>
      </c>
      <c r="I10" s="421">
        <f t="shared" si="1"/>
        <v>12130780.45</v>
      </c>
    </row>
    <row r="11" spans="1:9" ht="12.75">
      <c r="A11" s="914" t="s">
        <v>202</v>
      </c>
      <c r="B11" s="724">
        <f t="shared" si="0"/>
        <v>5288369.49</v>
      </c>
      <c r="C11" s="313">
        <v>119285</v>
      </c>
      <c r="D11" s="313">
        <v>27592.37</v>
      </c>
      <c r="E11" s="313">
        <v>5141492.12</v>
      </c>
      <c r="F11" s="313">
        <v>0</v>
      </c>
      <c r="G11" s="725">
        <v>20207598.13</v>
      </c>
      <c r="H11" s="726">
        <v>0</v>
      </c>
      <c r="I11" s="421">
        <f t="shared" si="1"/>
        <v>25495967.619999997</v>
      </c>
    </row>
    <row r="12" spans="1:9" ht="12.75">
      <c r="A12" s="914" t="s">
        <v>3</v>
      </c>
      <c r="B12" s="724">
        <f t="shared" si="0"/>
        <v>-352344.59</v>
      </c>
      <c r="C12" s="313">
        <v>18067</v>
      </c>
      <c r="D12" s="313">
        <v>0</v>
      </c>
      <c r="E12" s="313">
        <v>-370411.59</v>
      </c>
      <c r="F12" s="313">
        <v>0</v>
      </c>
      <c r="G12" s="725">
        <v>40000</v>
      </c>
      <c r="H12" s="726">
        <v>0</v>
      </c>
      <c r="I12" s="421">
        <f t="shared" si="1"/>
        <v>-312344.59</v>
      </c>
    </row>
    <row r="13" spans="1:9" ht="13.5" thickBot="1">
      <c r="A13" s="915" t="s">
        <v>443</v>
      </c>
      <c r="B13" s="727">
        <f t="shared" si="0"/>
        <v>18307</v>
      </c>
      <c r="C13" s="728">
        <v>18307</v>
      </c>
      <c r="D13" s="728">
        <v>0</v>
      </c>
      <c r="E13" s="728">
        <v>0</v>
      </c>
      <c r="F13" s="728">
        <v>0</v>
      </c>
      <c r="G13" s="729">
        <v>0</v>
      </c>
      <c r="H13" s="730">
        <v>0</v>
      </c>
      <c r="I13" s="731">
        <f t="shared" si="1"/>
        <v>18307</v>
      </c>
    </row>
    <row r="14" spans="1:9" ht="13.5" thickBot="1">
      <c r="A14" s="916" t="s">
        <v>10</v>
      </c>
      <c r="B14" s="474">
        <f>SUM(B5:B13)</f>
        <v>20118421.970000003</v>
      </c>
      <c r="C14" s="475">
        <f aca="true" t="shared" si="2" ref="C14:I14">SUM(C5:C13)</f>
        <v>2072648</v>
      </c>
      <c r="D14" s="475">
        <f t="shared" si="2"/>
        <v>27592.37</v>
      </c>
      <c r="E14" s="475">
        <f t="shared" si="2"/>
        <v>8538102.280000001</v>
      </c>
      <c r="F14" s="475">
        <f t="shared" si="2"/>
        <v>9480079.32</v>
      </c>
      <c r="G14" s="475">
        <f t="shared" si="2"/>
        <v>35903917.31</v>
      </c>
      <c r="H14" s="476">
        <f t="shared" si="2"/>
        <v>1127191093.1299999</v>
      </c>
      <c r="I14" s="477">
        <f t="shared" si="2"/>
        <v>1183213432.41</v>
      </c>
    </row>
    <row r="16" spans="7:8" ht="12.75">
      <c r="G16" s="113"/>
      <c r="H16" s="113"/>
    </row>
    <row r="17" ht="12.75">
      <c r="H17" s="113"/>
    </row>
    <row r="18" spans="2:6" ht="12.75">
      <c r="B18" s="113"/>
      <c r="F18" s="113"/>
    </row>
  </sheetData>
  <sheetProtection/>
  <mergeCells count="6">
    <mergeCell ref="A3:A4"/>
    <mergeCell ref="B3:B4"/>
    <mergeCell ref="C3:F3"/>
    <mergeCell ref="G3:G4"/>
    <mergeCell ref="H3:H4"/>
    <mergeCell ref="I3:I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60" zoomScaleNormal="90" workbookViewId="0" topLeftCell="A1">
      <selection activeCell="E39" sqref="E39"/>
    </sheetView>
  </sheetViews>
  <sheetFormatPr defaultColWidth="9.140625" defaultRowHeight="12.75"/>
  <cols>
    <col min="1" max="1" width="9.140625" style="0" customWidth="1"/>
    <col min="2" max="2" width="16.00390625" style="0" customWidth="1"/>
    <col min="3" max="3" width="13.00390625" style="0" customWidth="1"/>
    <col min="4" max="4" width="13.8515625" style="0" customWidth="1"/>
    <col min="5" max="5" width="13.7109375" style="0" customWidth="1"/>
    <col min="6" max="6" width="14.8515625" style="0" customWidth="1"/>
    <col min="7" max="7" width="11.140625" style="0" hidden="1" customWidth="1"/>
    <col min="8" max="8" width="8.7109375" style="0" hidden="1" customWidth="1"/>
    <col min="9" max="9" width="9.28125" style="0" hidden="1" customWidth="1"/>
    <col min="10" max="10" width="14.00390625" style="0" customWidth="1"/>
    <col min="11" max="11" width="13.7109375" style="0" customWidth="1"/>
    <col min="12" max="12" width="16.00390625" style="0" customWidth="1"/>
    <col min="13" max="13" width="15.28125" style="0" customWidth="1"/>
    <col min="14" max="14" width="14.140625" style="0" customWidth="1"/>
    <col min="15" max="15" width="11.7109375" style="0" customWidth="1"/>
    <col min="16" max="16" width="12.57421875" style="0" bestFit="1" customWidth="1"/>
    <col min="17" max="19" width="11.7109375" style="0" customWidth="1"/>
    <col min="20" max="20" width="12.7109375" style="0" customWidth="1"/>
    <col min="21" max="21" width="13.00390625" style="0" customWidth="1"/>
  </cols>
  <sheetData>
    <row r="1" ht="15.75">
      <c r="N1" s="2" t="s">
        <v>408</v>
      </c>
    </row>
    <row r="3" spans="1:15" ht="15.75">
      <c r="A3" s="116" t="s">
        <v>592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4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>
      <c r="A5" s="11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17"/>
    </row>
    <row r="6" spans="1:14" ht="13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403" t="s">
        <v>317</v>
      </c>
    </row>
    <row r="7" spans="1:15" ht="12.75" customHeight="1">
      <c r="A7" s="1065" t="s">
        <v>335</v>
      </c>
      <c r="B7" s="1048" t="s">
        <v>593</v>
      </c>
      <c r="C7" s="1070" t="s">
        <v>212</v>
      </c>
      <c r="D7" s="1070"/>
      <c r="E7" s="1070"/>
      <c r="F7" s="1048" t="s">
        <v>594</v>
      </c>
      <c r="G7" s="1070" t="s">
        <v>212</v>
      </c>
      <c r="H7" s="1070"/>
      <c r="I7" s="1071"/>
      <c r="J7" s="1054" t="s">
        <v>337</v>
      </c>
      <c r="K7" s="1057" t="s">
        <v>338</v>
      </c>
      <c r="L7" s="1048" t="s">
        <v>336</v>
      </c>
      <c r="M7" s="1051" t="s">
        <v>595</v>
      </c>
      <c r="N7" s="1048" t="s">
        <v>596</v>
      </c>
      <c r="O7" s="488"/>
    </row>
    <row r="8" spans="1:15" ht="12" customHeight="1">
      <c r="A8" s="1066"/>
      <c r="B8" s="1068"/>
      <c r="C8" s="1060" t="s">
        <v>339</v>
      </c>
      <c r="D8" s="1062" t="s">
        <v>212</v>
      </c>
      <c r="E8" s="1063"/>
      <c r="F8" s="1049"/>
      <c r="G8" s="1060" t="s">
        <v>339</v>
      </c>
      <c r="H8" s="1062" t="s">
        <v>212</v>
      </c>
      <c r="I8" s="1064"/>
      <c r="J8" s="1055"/>
      <c r="K8" s="1058"/>
      <c r="L8" s="1068"/>
      <c r="M8" s="1052"/>
      <c r="N8" s="1049"/>
      <c r="O8" s="488"/>
    </row>
    <row r="9" spans="1:15" ht="45" customHeight="1" thickBot="1">
      <c r="A9" s="1067"/>
      <c r="B9" s="1069"/>
      <c r="C9" s="1061"/>
      <c r="D9" s="917" t="s">
        <v>340</v>
      </c>
      <c r="E9" s="918" t="s">
        <v>341</v>
      </c>
      <c r="F9" s="1050"/>
      <c r="G9" s="1061"/>
      <c r="H9" s="917" t="s">
        <v>340</v>
      </c>
      <c r="I9" s="917" t="s">
        <v>341</v>
      </c>
      <c r="J9" s="1056"/>
      <c r="K9" s="1059"/>
      <c r="L9" s="1069"/>
      <c r="M9" s="1053"/>
      <c r="N9" s="1050"/>
      <c r="O9" s="488"/>
    </row>
    <row r="10" spans="1:15" ht="13.5" thickBot="1">
      <c r="A10" s="919"/>
      <c r="B10" s="920" t="s">
        <v>323</v>
      </c>
      <c r="C10" s="921" t="s">
        <v>324</v>
      </c>
      <c r="D10" s="922" t="s">
        <v>325</v>
      </c>
      <c r="E10" s="923" t="s">
        <v>326</v>
      </c>
      <c r="F10" s="920" t="s">
        <v>327</v>
      </c>
      <c r="G10" s="921" t="s">
        <v>328</v>
      </c>
      <c r="H10" s="922" t="s">
        <v>329</v>
      </c>
      <c r="I10" s="922" t="s">
        <v>342</v>
      </c>
      <c r="J10" s="922" t="s">
        <v>328</v>
      </c>
      <c r="K10" s="924" t="s">
        <v>329</v>
      </c>
      <c r="L10" s="920" t="s">
        <v>342</v>
      </c>
      <c r="M10" s="925" t="s">
        <v>612</v>
      </c>
      <c r="N10" s="920" t="s">
        <v>343</v>
      </c>
      <c r="O10" s="488"/>
    </row>
    <row r="11" spans="1:15" ht="12.75">
      <c r="A11" s="926" t="s">
        <v>330</v>
      </c>
      <c r="B11" s="489">
        <v>3924296439.37</v>
      </c>
      <c r="C11" s="490">
        <f>SUM(D11:E11)</f>
        <v>1882941.79</v>
      </c>
      <c r="D11" s="491">
        <v>105139</v>
      </c>
      <c r="E11" s="492">
        <v>1777802.79</v>
      </c>
      <c r="F11" s="489">
        <v>2445861936.69</v>
      </c>
      <c r="G11" s="490"/>
      <c r="H11" s="491"/>
      <c r="I11" s="491"/>
      <c r="J11" s="491">
        <v>3142285.29</v>
      </c>
      <c r="K11" s="493">
        <v>51462901.26</v>
      </c>
      <c r="L11" s="489">
        <v>1777802.79</v>
      </c>
      <c r="M11" s="494">
        <f aca="true" t="shared" si="0" ref="M11:M19">B11-L11</f>
        <v>3922518636.58</v>
      </c>
      <c r="N11" s="495">
        <f aca="true" t="shared" si="1" ref="N11:N19">M11+F11</f>
        <v>6368380573.27</v>
      </c>
      <c r="O11" s="496"/>
    </row>
    <row r="12" spans="1:15" ht="12.75">
      <c r="A12" s="926" t="s">
        <v>201</v>
      </c>
      <c r="B12" s="497">
        <v>165285604.75</v>
      </c>
      <c r="C12" s="490">
        <f aca="true" t="shared" si="2" ref="C12:C19">SUM(D12:E12)</f>
        <v>92840</v>
      </c>
      <c r="D12" s="499">
        <v>92481</v>
      </c>
      <c r="E12" s="500">
        <v>359</v>
      </c>
      <c r="F12" s="501"/>
      <c r="G12" s="498"/>
      <c r="H12" s="499"/>
      <c r="I12" s="499"/>
      <c r="J12" s="499"/>
      <c r="K12" s="502">
        <v>466124349.33</v>
      </c>
      <c r="L12" s="497">
        <v>13928.9</v>
      </c>
      <c r="M12" s="494">
        <f t="shared" si="0"/>
        <v>165271675.85</v>
      </c>
      <c r="N12" s="495">
        <f t="shared" si="1"/>
        <v>165271675.85</v>
      </c>
      <c r="O12" s="488"/>
    </row>
    <row r="13" spans="1:15" ht="12.75">
      <c r="A13" s="926" t="s">
        <v>331</v>
      </c>
      <c r="B13" s="503">
        <v>35279129.82</v>
      </c>
      <c r="C13" s="490">
        <f t="shared" si="2"/>
        <v>0</v>
      </c>
      <c r="D13" s="505"/>
      <c r="E13" s="506"/>
      <c r="F13" s="503"/>
      <c r="G13" s="504"/>
      <c r="H13" s="505"/>
      <c r="I13" s="505"/>
      <c r="J13" s="505"/>
      <c r="K13" s="507"/>
      <c r="L13" s="503"/>
      <c r="M13" s="494">
        <f t="shared" si="0"/>
        <v>35279129.82</v>
      </c>
      <c r="N13" s="495">
        <f t="shared" si="1"/>
        <v>35279129.82</v>
      </c>
      <c r="O13" s="508"/>
    </row>
    <row r="14" spans="1:15" ht="12.75">
      <c r="A14" s="926" t="s">
        <v>332</v>
      </c>
      <c r="B14" s="497">
        <v>42859832.96</v>
      </c>
      <c r="C14" s="490">
        <f t="shared" si="2"/>
        <v>42859832.96</v>
      </c>
      <c r="D14" s="499">
        <v>42254681.85</v>
      </c>
      <c r="E14" s="500">
        <v>605151.11</v>
      </c>
      <c r="F14" s="501"/>
      <c r="G14" s="504"/>
      <c r="H14" s="499"/>
      <c r="I14" s="499"/>
      <c r="J14" s="499">
        <v>108072.21</v>
      </c>
      <c r="K14" s="502">
        <v>25418578.42</v>
      </c>
      <c r="L14" s="497">
        <v>542819.31</v>
      </c>
      <c r="M14" s="494">
        <f t="shared" si="0"/>
        <v>42317013.65</v>
      </c>
      <c r="N14" s="495">
        <f t="shared" si="1"/>
        <v>42317013.65</v>
      </c>
      <c r="O14" s="488"/>
    </row>
    <row r="15" spans="1:15" ht="12.75">
      <c r="A15" s="926" t="s">
        <v>333</v>
      </c>
      <c r="B15" s="497">
        <v>24137842.85</v>
      </c>
      <c r="C15" s="490">
        <f t="shared" si="2"/>
        <v>0</v>
      </c>
      <c r="D15" s="499"/>
      <c r="E15" s="500"/>
      <c r="F15" s="501"/>
      <c r="G15" s="504"/>
      <c r="H15" s="499"/>
      <c r="I15" s="499"/>
      <c r="J15" s="499"/>
      <c r="K15" s="502">
        <v>1245414.43</v>
      </c>
      <c r="L15" s="497"/>
      <c r="M15" s="494">
        <f t="shared" si="0"/>
        <v>24137842.85</v>
      </c>
      <c r="N15" s="495">
        <f t="shared" si="1"/>
        <v>24137842.85</v>
      </c>
      <c r="O15" s="488"/>
    </row>
    <row r="16" spans="1:15" ht="12.75">
      <c r="A16" s="926" t="s">
        <v>334</v>
      </c>
      <c r="B16" s="501">
        <v>126596276.09</v>
      </c>
      <c r="C16" s="490">
        <f t="shared" si="2"/>
        <v>126596276.09</v>
      </c>
      <c r="D16" s="499">
        <v>126552392.09</v>
      </c>
      <c r="E16" s="500">
        <v>43884</v>
      </c>
      <c r="F16" s="501"/>
      <c r="G16" s="504"/>
      <c r="H16" s="499"/>
      <c r="I16" s="499"/>
      <c r="J16" s="499"/>
      <c r="K16" s="502"/>
      <c r="L16" s="501"/>
      <c r="M16" s="494">
        <f t="shared" si="0"/>
        <v>126596276.09</v>
      </c>
      <c r="N16" s="495">
        <f t="shared" si="1"/>
        <v>126596276.09</v>
      </c>
      <c r="O16" s="488"/>
    </row>
    <row r="17" spans="1:15" ht="12.75">
      <c r="A17" s="926" t="s">
        <v>202</v>
      </c>
      <c r="B17" s="501">
        <v>193141274.87</v>
      </c>
      <c r="C17" s="490">
        <f t="shared" si="2"/>
        <v>0</v>
      </c>
      <c r="D17" s="499"/>
      <c r="E17" s="500"/>
      <c r="F17" s="501"/>
      <c r="G17" s="509"/>
      <c r="H17" s="499"/>
      <c r="I17" s="499"/>
      <c r="J17" s="499"/>
      <c r="K17" s="502"/>
      <c r="L17" s="501"/>
      <c r="M17" s="494">
        <f t="shared" si="0"/>
        <v>193141274.87</v>
      </c>
      <c r="N17" s="495">
        <f t="shared" si="1"/>
        <v>193141274.87</v>
      </c>
      <c r="O17" s="488"/>
    </row>
    <row r="18" spans="1:15" ht="12.75">
      <c r="A18" s="926" t="s">
        <v>122</v>
      </c>
      <c r="B18" s="501">
        <v>5698670.75</v>
      </c>
      <c r="C18" s="490">
        <f t="shared" si="2"/>
        <v>0</v>
      </c>
      <c r="D18" s="499"/>
      <c r="E18" s="500"/>
      <c r="F18" s="501"/>
      <c r="G18" s="504"/>
      <c r="H18" s="499"/>
      <c r="I18" s="499"/>
      <c r="J18" s="499"/>
      <c r="K18" s="502"/>
      <c r="L18" s="501"/>
      <c r="M18" s="494">
        <f t="shared" si="0"/>
        <v>5698670.75</v>
      </c>
      <c r="N18" s="495">
        <f t="shared" si="1"/>
        <v>5698670.75</v>
      </c>
      <c r="O18" s="488"/>
    </row>
    <row r="19" spans="1:15" ht="13.5" thickBot="1">
      <c r="A19" s="927" t="s">
        <v>80</v>
      </c>
      <c r="B19" s="510">
        <v>14306340.93</v>
      </c>
      <c r="C19" s="490">
        <f t="shared" si="2"/>
        <v>76917</v>
      </c>
      <c r="D19" s="512">
        <v>76917</v>
      </c>
      <c r="E19" s="513"/>
      <c r="F19" s="510"/>
      <c r="G19" s="511"/>
      <c r="H19" s="512"/>
      <c r="I19" s="512"/>
      <c r="J19" s="512"/>
      <c r="K19" s="514"/>
      <c r="L19" s="510"/>
      <c r="M19" s="494">
        <f t="shared" si="0"/>
        <v>14306340.93</v>
      </c>
      <c r="N19" s="495">
        <f t="shared" si="1"/>
        <v>14306340.93</v>
      </c>
      <c r="O19" s="488"/>
    </row>
    <row r="20" spans="1:15" ht="13.5" thickBot="1">
      <c r="A20" s="928" t="s">
        <v>81</v>
      </c>
      <c r="B20" s="515">
        <f>SUM(B11:B19)</f>
        <v>4531601412.39</v>
      </c>
      <c r="C20" s="516">
        <f>SUM(C11:C19)</f>
        <v>171508807.84</v>
      </c>
      <c r="D20" s="517">
        <f>SUM(D11:D19)</f>
        <v>169081610.94</v>
      </c>
      <c r="E20" s="518">
        <f>SUM(E11:E19)</f>
        <v>2427196.9</v>
      </c>
      <c r="F20" s="515">
        <f>SUM(F11:F19)</f>
        <v>2445861936.69</v>
      </c>
      <c r="G20" s="516"/>
      <c r="H20" s="517"/>
      <c r="I20" s="517"/>
      <c r="J20" s="517">
        <f>SUM(J11:J19)</f>
        <v>3250357.5</v>
      </c>
      <c r="K20" s="518">
        <f>SUM(K11:K19)</f>
        <v>544251243.4399999</v>
      </c>
      <c r="L20" s="515">
        <f>SUM(L11:L19)</f>
        <v>2334551</v>
      </c>
      <c r="M20" s="519">
        <f>SUM(M11:M19)</f>
        <v>4529266861.39</v>
      </c>
      <c r="N20" s="515">
        <f>SUM(N11:N19)</f>
        <v>6975128798.080001</v>
      </c>
      <c r="O20" s="488"/>
    </row>
    <row r="22" ht="12.75">
      <c r="M22" s="523"/>
    </row>
    <row r="23" spans="1:15" ht="12.75">
      <c r="A23" s="120"/>
      <c r="B23" s="404"/>
      <c r="C23" s="120"/>
      <c r="D23" s="401"/>
      <c r="E23" s="121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2:6" ht="12.75">
      <c r="B24" s="404"/>
      <c r="D24" s="401"/>
      <c r="E24" s="113"/>
      <c r="F24" s="113"/>
    </row>
    <row r="25" spans="2:4" ht="12.75">
      <c r="B25" s="404"/>
      <c r="D25" s="401"/>
    </row>
    <row r="26" spans="2:4" ht="12.75">
      <c r="B26" s="404"/>
      <c r="D26" s="401"/>
    </row>
    <row r="27" spans="2:4" ht="12.75">
      <c r="B27" s="404"/>
      <c r="D27" s="401"/>
    </row>
    <row r="28" spans="2:4" ht="12.75">
      <c r="B28" s="404"/>
      <c r="D28" s="401"/>
    </row>
    <row r="29" spans="2:4" ht="12.75">
      <c r="B29" s="404"/>
      <c r="D29" s="401"/>
    </row>
    <row r="30" spans="2:4" ht="12.75">
      <c r="B30" s="404"/>
      <c r="D30" s="401"/>
    </row>
    <row r="31" spans="2:4" ht="12.75">
      <c r="B31" s="404"/>
      <c r="D31" s="401"/>
    </row>
  </sheetData>
  <sheetProtection/>
  <mergeCells count="14">
    <mergeCell ref="A7:A9"/>
    <mergeCell ref="B7:B9"/>
    <mergeCell ref="L7:L9"/>
    <mergeCell ref="C7:E7"/>
    <mergeCell ref="F7:F9"/>
    <mergeCell ref="G7:I7"/>
    <mergeCell ref="N7:N9"/>
    <mergeCell ref="M7:M9"/>
    <mergeCell ref="J7:J9"/>
    <mergeCell ref="K7:K9"/>
    <mergeCell ref="C8:C9"/>
    <mergeCell ref="D8:E8"/>
    <mergeCell ref="G8:G9"/>
    <mergeCell ref="H8:I8"/>
  </mergeCells>
  <printOptions/>
  <pageMargins left="0.5118110236220472" right="0.31496062992125984" top="0.7874015748031497" bottom="0" header="0.31496062992125984" footer="0.31496062992125984"/>
  <pageSetup fitToHeight="1" fitToWidth="1" horizontalDpi="1200" verticalDpi="12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60" zoomScaleNormal="90" workbookViewId="0" topLeftCell="A1">
      <selection activeCell="C25" sqref="C25"/>
    </sheetView>
  </sheetViews>
  <sheetFormatPr defaultColWidth="9.140625" defaultRowHeight="12.75"/>
  <cols>
    <col min="1" max="1" width="9.421875" style="0" customWidth="1"/>
    <col min="2" max="2" width="15.8515625" style="0" customWidth="1"/>
    <col min="3" max="3" width="16.421875" style="0" customWidth="1"/>
    <col min="4" max="4" width="14.57421875" style="0" customWidth="1"/>
    <col min="5" max="5" width="14.8515625" style="0" bestFit="1" customWidth="1"/>
    <col min="6" max="6" width="16.00390625" style="0" customWidth="1"/>
    <col min="7" max="7" width="14.140625" style="0" customWidth="1"/>
    <col min="8" max="8" width="12.8515625" style="0" customWidth="1"/>
    <col min="9" max="9" width="13.421875" style="0" customWidth="1"/>
    <col min="10" max="10" width="15.140625" style="0" customWidth="1"/>
    <col min="11" max="12" width="11.7109375" style="0" customWidth="1"/>
    <col min="13" max="13" width="13.421875" style="0" bestFit="1" customWidth="1"/>
    <col min="14" max="14" width="11.7109375" style="0" customWidth="1"/>
    <col min="15" max="15" width="15.8515625" style="0" customWidth="1"/>
    <col min="16" max="16" width="11.7109375" style="0" customWidth="1"/>
    <col min="17" max="17" width="12.7109375" style="0" customWidth="1"/>
    <col min="18" max="18" width="13.00390625" style="0" customWidth="1"/>
  </cols>
  <sheetData>
    <row r="1" ht="15.75">
      <c r="G1" s="2" t="s">
        <v>630</v>
      </c>
    </row>
    <row r="4" spans="1:12" ht="15.75">
      <c r="A4" s="116" t="s">
        <v>597</v>
      </c>
      <c r="B4" s="116"/>
      <c r="C4" s="116"/>
      <c r="D4" s="116"/>
      <c r="E4" s="116"/>
      <c r="F4" s="116"/>
      <c r="G4" s="116"/>
      <c r="H4" s="114"/>
      <c r="I4" s="114"/>
      <c r="J4" s="114"/>
      <c r="K4" s="115"/>
      <c r="L4" s="115"/>
    </row>
    <row r="5" spans="1:10" ht="12.7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3.5" thickBot="1">
      <c r="A6" s="62"/>
      <c r="B6" s="62"/>
      <c r="C6" s="62"/>
      <c r="D6" s="62"/>
      <c r="E6" s="62"/>
      <c r="F6" s="62"/>
      <c r="G6" s="117" t="s">
        <v>317</v>
      </c>
      <c r="H6" s="62"/>
      <c r="I6" s="62"/>
      <c r="J6" s="62"/>
    </row>
    <row r="7" spans="1:7" ht="12.75" customHeight="1">
      <c r="A7" s="1072" t="s">
        <v>318</v>
      </c>
      <c r="B7" s="1074" t="s">
        <v>598</v>
      </c>
      <c r="C7" s="1076" t="s">
        <v>212</v>
      </c>
      <c r="D7" s="1077"/>
      <c r="E7" s="1077"/>
      <c r="F7" s="1078"/>
      <c r="G7" s="1079" t="s">
        <v>319</v>
      </c>
    </row>
    <row r="8" spans="1:7" ht="55.5" customHeight="1" thickBot="1">
      <c r="A8" s="1073"/>
      <c r="B8" s="1075"/>
      <c r="C8" s="929" t="s">
        <v>320</v>
      </c>
      <c r="D8" s="929" t="s">
        <v>321</v>
      </c>
      <c r="E8" s="929" t="s">
        <v>322</v>
      </c>
      <c r="F8" s="929" t="s">
        <v>321</v>
      </c>
      <c r="G8" s="1080"/>
    </row>
    <row r="9" spans="1:7" s="118" customFormat="1" ht="15" thickBot="1">
      <c r="A9" s="930"/>
      <c r="B9" s="931" t="s">
        <v>323</v>
      </c>
      <c r="C9" s="931" t="s">
        <v>324</v>
      </c>
      <c r="D9" s="931" t="s">
        <v>325</v>
      </c>
      <c r="E9" s="931" t="s">
        <v>326</v>
      </c>
      <c r="F9" s="931" t="s">
        <v>327</v>
      </c>
      <c r="G9" s="932" t="s">
        <v>329</v>
      </c>
    </row>
    <row r="10" spans="1:7" s="118" customFormat="1" ht="14.25">
      <c r="A10" s="933" t="s">
        <v>330</v>
      </c>
      <c r="B10" s="153">
        <f>C10+E10</f>
        <v>6364047545.29</v>
      </c>
      <c r="C10" s="145">
        <v>3777307865.06</v>
      </c>
      <c r="D10" s="152"/>
      <c r="E10" s="143">
        <v>2586739680.23</v>
      </c>
      <c r="F10" s="144"/>
      <c r="G10" s="228">
        <v>485141328.84</v>
      </c>
    </row>
    <row r="11" spans="1:7" s="118" customFormat="1" ht="14.25">
      <c r="A11" s="934" t="s">
        <v>201</v>
      </c>
      <c r="B11" s="154">
        <f aca="true" t="shared" si="0" ref="B11:B18">C11+E11</f>
        <v>198712899.71999997</v>
      </c>
      <c r="C11" s="145">
        <v>159370778.64</v>
      </c>
      <c r="D11" s="146"/>
      <c r="E11" s="145">
        <v>39342121.08</v>
      </c>
      <c r="F11" s="145"/>
      <c r="G11" s="225">
        <v>1628309.99</v>
      </c>
    </row>
    <row r="12" spans="1:7" s="118" customFormat="1" ht="14.25">
      <c r="A12" s="934" t="s">
        <v>331</v>
      </c>
      <c r="B12" s="154">
        <f>C12+E12</f>
        <v>41841065.01</v>
      </c>
      <c r="C12" s="145"/>
      <c r="D12" s="146"/>
      <c r="E12" s="145">
        <v>41841065.01</v>
      </c>
      <c r="F12" s="146"/>
      <c r="G12" s="225"/>
    </row>
    <row r="13" spans="1:7" s="118" customFormat="1" ht="14.25">
      <c r="A13" s="935" t="s">
        <v>332</v>
      </c>
      <c r="B13" s="154">
        <f t="shared" si="0"/>
        <v>19017844.76</v>
      </c>
      <c r="C13" s="145"/>
      <c r="D13" s="146"/>
      <c r="E13" s="145">
        <v>19017844.76</v>
      </c>
      <c r="F13" s="145">
        <v>19818.38</v>
      </c>
      <c r="G13" s="225"/>
    </row>
    <row r="14" spans="1:7" s="118" customFormat="1" ht="14.25">
      <c r="A14" s="934" t="s">
        <v>333</v>
      </c>
      <c r="B14" s="154">
        <f t="shared" si="0"/>
        <v>25135936.009999998</v>
      </c>
      <c r="C14" s="145"/>
      <c r="D14" s="146"/>
      <c r="E14" s="145">
        <v>25135936.009999998</v>
      </c>
      <c r="F14" s="146"/>
      <c r="G14" s="225"/>
    </row>
    <row r="15" spans="1:7" s="118" customFormat="1" ht="14.25">
      <c r="A15" s="934" t="s">
        <v>334</v>
      </c>
      <c r="B15" s="154">
        <f t="shared" si="0"/>
        <v>137507745.44</v>
      </c>
      <c r="C15" s="145">
        <v>24286524</v>
      </c>
      <c r="D15" s="145">
        <v>24286524</v>
      </c>
      <c r="E15" s="145">
        <v>113221221.44</v>
      </c>
      <c r="F15" s="145"/>
      <c r="G15" s="225"/>
    </row>
    <row r="16" spans="1:7" s="118" customFormat="1" ht="14.25">
      <c r="A16" s="934" t="s">
        <v>202</v>
      </c>
      <c r="B16" s="154">
        <f t="shared" si="0"/>
        <v>204754033.44</v>
      </c>
      <c r="C16" s="145"/>
      <c r="D16" s="147"/>
      <c r="E16" s="145">
        <v>204754033.44</v>
      </c>
      <c r="F16" s="147">
        <v>6541.54</v>
      </c>
      <c r="G16" s="225">
        <v>108402198.76</v>
      </c>
    </row>
    <row r="17" spans="1:7" s="118" customFormat="1" ht="14.25">
      <c r="A17" s="934" t="s">
        <v>122</v>
      </c>
      <c r="B17" s="154">
        <f>C17+E17</f>
        <v>6615715.92</v>
      </c>
      <c r="C17" s="145"/>
      <c r="D17" s="145"/>
      <c r="E17" s="145">
        <v>6615715.92</v>
      </c>
      <c r="F17" s="146"/>
      <c r="G17" s="225"/>
    </row>
    <row r="18" spans="1:7" s="118" customFormat="1" ht="15" thickBot="1">
      <c r="A18" s="936" t="s">
        <v>80</v>
      </c>
      <c r="B18" s="229">
        <f t="shared" si="0"/>
        <v>16647436.59</v>
      </c>
      <c r="C18" s="226"/>
      <c r="D18" s="230"/>
      <c r="E18" s="226">
        <v>16647436.59</v>
      </c>
      <c r="F18" s="230"/>
      <c r="G18" s="231">
        <v>461879.6</v>
      </c>
    </row>
    <row r="19" spans="1:7" s="118" customFormat="1" ht="15" thickBot="1">
      <c r="A19" s="937" t="s">
        <v>81</v>
      </c>
      <c r="B19" s="232">
        <f aca="true" t="shared" si="1" ref="B19:G19">SUM(B10:B18)</f>
        <v>7014280222.18</v>
      </c>
      <c r="C19" s="227">
        <f>SUM(C10:C18)</f>
        <v>3960965167.7</v>
      </c>
      <c r="D19" s="227">
        <f t="shared" si="1"/>
        <v>24286524</v>
      </c>
      <c r="E19" s="227">
        <f t="shared" si="1"/>
        <v>3053315054.480001</v>
      </c>
      <c r="F19" s="227">
        <f t="shared" si="1"/>
        <v>26359.920000000002</v>
      </c>
      <c r="G19" s="233">
        <f t="shared" si="1"/>
        <v>595633717.19</v>
      </c>
    </row>
    <row r="26" spans="16:18" ht="12.75" customHeight="1">
      <c r="P26" s="717"/>
      <c r="Q26" s="717"/>
      <c r="R26" s="717"/>
    </row>
    <row r="27" spans="16:18" ht="12.75">
      <c r="P27" s="717"/>
      <c r="Q27" s="717"/>
      <c r="R27" s="717"/>
    </row>
    <row r="28" spans="16:18" ht="12.75" customHeight="1">
      <c r="P28" s="717"/>
      <c r="Q28" s="717"/>
      <c r="R28" s="717"/>
    </row>
    <row r="29" spans="16:18" ht="12.75">
      <c r="P29" s="717"/>
      <c r="Q29" s="717"/>
      <c r="R29" s="717"/>
    </row>
    <row r="30" spans="16:18" ht="12.75">
      <c r="P30" s="717"/>
      <c r="Q30" s="717"/>
      <c r="R30" s="717"/>
    </row>
    <row r="31" spans="16:18" ht="13.5" customHeight="1">
      <c r="P31" s="717"/>
      <c r="Q31" s="717"/>
      <c r="R31" s="717"/>
    </row>
  </sheetData>
  <sheetProtection/>
  <mergeCells count="4">
    <mergeCell ref="A7:A8"/>
    <mergeCell ref="B7:B8"/>
    <mergeCell ref="C7:F7"/>
    <mergeCell ref="G7:G8"/>
  </mergeCells>
  <printOptions horizontalCentered="1"/>
  <pageMargins left="0.5118110236220472" right="0.31496062992125984" top="0.7874015748031497" bottom="0" header="0.31496062992125984" footer="0.31496062992125984"/>
  <pageSetup fitToHeight="1" fitToWidth="1"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zoomScale="80" zoomScaleNormal="80" zoomScalePageLayoutView="0" workbookViewId="0" topLeftCell="A16">
      <selection activeCell="D40" sqref="D40"/>
    </sheetView>
  </sheetViews>
  <sheetFormatPr defaultColWidth="9.140625" defaultRowHeight="12.75"/>
  <cols>
    <col min="1" max="1" width="2.00390625" style="1" customWidth="1"/>
    <col min="2" max="2" width="14.8515625" style="1" customWidth="1"/>
    <col min="3" max="3" width="14.8515625" style="1" bestFit="1" customWidth="1"/>
    <col min="4" max="4" width="13.28125" style="1" customWidth="1"/>
    <col min="5" max="5" width="15.421875" style="1" customWidth="1"/>
    <col min="6" max="7" width="14.28125" style="1" customWidth="1"/>
    <col min="8" max="8" width="12.00390625" style="1" customWidth="1"/>
    <col min="9" max="16384" width="9.140625" style="1" customWidth="1"/>
  </cols>
  <sheetData>
    <row r="1" ht="15.75">
      <c r="G1" s="2" t="s">
        <v>631</v>
      </c>
    </row>
    <row r="2" ht="15.75">
      <c r="B2" s="3" t="s">
        <v>458</v>
      </c>
    </row>
    <row r="3" ht="13.5" customHeight="1">
      <c r="B3" s="4" t="s">
        <v>0</v>
      </c>
    </row>
    <row r="4" ht="13.5" thickBot="1">
      <c r="E4" s="4" t="s">
        <v>317</v>
      </c>
    </row>
    <row r="5" spans="2:7" ht="43.5" customHeight="1" thickBot="1">
      <c r="B5" s="28"/>
      <c r="C5" s="72" t="s">
        <v>589</v>
      </c>
      <c r="D5" s="73" t="s">
        <v>1</v>
      </c>
      <c r="E5" s="71" t="s">
        <v>601</v>
      </c>
      <c r="F5" s="5"/>
      <c r="G5" s="5"/>
    </row>
    <row r="6" spans="2:7" ht="13.5" thickBot="1">
      <c r="B6" s="67" t="s">
        <v>2</v>
      </c>
      <c r="C6" s="74">
        <v>1</v>
      </c>
      <c r="D6" s="75">
        <v>2</v>
      </c>
      <c r="E6" s="68">
        <v>3</v>
      </c>
      <c r="G6" s="5"/>
    </row>
    <row r="7" spans="2:7" ht="13.5" thickTop="1">
      <c r="B7" s="69" t="s">
        <v>330</v>
      </c>
      <c r="C7" s="367">
        <f>'T14-penFondy'!E6</f>
        <v>403071.14</v>
      </c>
      <c r="D7" s="533">
        <v>227400</v>
      </c>
      <c r="E7" s="368">
        <f aca="true" t="shared" si="0" ref="E7:E15">SUM(C7:D7)</f>
        <v>630471.14</v>
      </c>
      <c r="G7" s="5"/>
    </row>
    <row r="8" spans="2:7" ht="12.75">
      <c r="B8" s="24" t="s">
        <v>201</v>
      </c>
      <c r="C8" s="369">
        <f>'T14-penFondy'!E7</f>
        <v>605421.85</v>
      </c>
      <c r="D8" s="534"/>
      <c r="E8" s="370">
        <f t="shared" si="0"/>
        <v>605421.85</v>
      </c>
      <c r="G8" s="5"/>
    </row>
    <row r="9" spans="2:7" ht="12.75">
      <c r="B9" s="24" t="s">
        <v>331</v>
      </c>
      <c r="C9" s="369">
        <f>'T14-penFondy'!E8</f>
        <v>0</v>
      </c>
      <c r="D9" s="534">
        <v>238025</v>
      </c>
      <c r="E9" s="370">
        <f t="shared" si="0"/>
        <v>238025</v>
      </c>
      <c r="G9" s="5"/>
    </row>
    <row r="10" spans="2:7" ht="12.75">
      <c r="B10" s="24" t="s">
        <v>332</v>
      </c>
      <c r="C10" s="369">
        <f>'T14-penFondy'!E9</f>
        <v>1433919.8</v>
      </c>
      <c r="D10" s="534"/>
      <c r="E10" s="370">
        <f t="shared" si="0"/>
        <v>1433919.8</v>
      </c>
      <c r="G10" s="5"/>
    </row>
    <row r="11" spans="2:7" ht="12.75">
      <c r="B11" s="26" t="s">
        <v>333</v>
      </c>
      <c r="C11" s="369">
        <f>'T14-penFondy'!E10</f>
        <v>0</v>
      </c>
      <c r="D11" s="534"/>
      <c r="E11" s="370">
        <f t="shared" si="0"/>
        <v>0</v>
      </c>
      <c r="G11" s="5"/>
    </row>
    <row r="12" spans="2:7" ht="12.75">
      <c r="B12" s="24" t="s">
        <v>334</v>
      </c>
      <c r="C12" s="369">
        <f>'T14-penFondy'!E11</f>
        <v>688754</v>
      </c>
      <c r="D12" s="534">
        <v>631080</v>
      </c>
      <c r="E12" s="370">
        <f>SUM(C12:D12)</f>
        <v>1319834</v>
      </c>
      <c r="G12" s="5"/>
    </row>
    <row r="13" spans="2:7" ht="12.75">
      <c r="B13" s="55" t="s">
        <v>202</v>
      </c>
      <c r="C13" s="369">
        <f>'T14-penFondy'!E12</f>
        <v>1015893</v>
      </c>
      <c r="D13" s="534">
        <v>250000</v>
      </c>
      <c r="E13" s="370">
        <f t="shared" si="0"/>
        <v>1265893</v>
      </c>
      <c r="G13" s="5"/>
    </row>
    <row r="14" spans="2:7" ht="12.75">
      <c r="B14" s="24" t="s">
        <v>3</v>
      </c>
      <c r="C14" s="369">
        <f>'T14-penFondy'!E13</f>
        <v>93775.98</v>
      </c>
      <c r="D14" s="535">
        <v>36000</v>
      </c>
      <c r="E14" s="370">
        <f t="shared" si="0"/>
        <v>129775.98</v>
      </c>
      <c r="G14" s="5"/>
    </row>
    <row r="15" spans="2:7" ht="13.5" thickBot="1">
      <c r="B15" s="24" t="s">
        <v>443</v>
      </c>
      <c r="C15" s="369">
        <f>'T14-penFondy'!E14</f>
        <v>64132</v>
      </c>
      <c r="D15" s="534">
        <v>36000</v>
      </c>
      <c r="E15" s="370">
        <f t="shared" si="0"/>
        <v>100132</v>
      </c>
      <c r="G15" s="5"/>
    </row>
    <row r="16" spans="2:7" ht="13.5" customHeight="1" thickBot="1">
      <c r="B16" s="70" t="s">
        <v>4</v>
      </c>
      <c r="C16" s="471">
        <f>SUM(C7:C15)</f>
        <v>4304967.7700000005</v>
      </c>
      <c r="D16" s="459">
        <f>SUM(D7:D15)</f>
        <v>1418505</v>
      </c>
      <c r="E16" s="372">
        <f>SUM(E7:E15)</f>
        <v>5723472.7700000005</v>
      </c>
      <c r="G16" s="5"/>
    </row>
    <row r="17" spans="2:7" ht="12.75" customHeight="1">
      <c r="B17" s="10"/>
      <c r="C17" s="11"/>
      <c r="D17" s="92"/>
      <c r="E17" s="12"/>
      <c r="F17" s="1081" t="s">
        <v>212</v>
      </c>
      <c r="G17" s="1082"/>
    </row>
    <row r="18" spans="4:7" ht="13.5" thickBot="1">
      <c r="D18" s="58"/>
      <c r="F18" s="90" t="s">
        <v>432</v>
      </c>
      <c r="G18" s="91" t="s">
        <v>211</v>
      </c>
    </row>
    <row r="19" spans="2:7" ht="13.5" thickBot="1">
      <c r="B19" s="67" t="s">
        <v>5</v>
      </c>
      <c r="C19" s="74">
        <v>1</v>
      </c>
      <c r="D19" s="76">
        <v>2</v>
      </c>
      <c r="E19" s="89">
        <v>3</v>
      </c>
      <c r="F19" s="87">
        <v>4</v>
      </c>
      <c r="G19" s="88">
        <v>5</v>
      </c>
    </row>
    <row r="20" spans="2:7" ht="13.5" thickTop="1">
      <c r="B20" s="69" t="s">
        <v>330</v>
      </c>
      <c r="C20" s="367">
        <f>'T14-penFondy'!E32</f>
        <v>596891610.03</v>
      </c>
      <c r="D20" s="533">
        <v>380439.24</v>
      </c>
      <c r="E20" s="373">
        <f aca="true" t="shared" si="1" ref="E20:E28">SUM(C20:D20)</f>
        <v>597272049.27</v>
      </c>
      <c r="F20" s="367">
        <f>'T14-penFondy'!E34</f>
        <v>590509080.4</v>
      </c>
      <c r="G20" s="355">
        <f>E20-F20</f>
        <v>6762968.870000005</v>
      </c>
    </row>
    <row r="21" spans="2:7" ht="12.75">
      <c r="B21" s="24" t="s">
        <v>201</v>
      </c>
      <c r="C21" s="369">
        <f>'T14-penFondy'!E37</f>
        <v>47293785.25</v>
      </c>
      <c r="D21" s="534">
        <v>717778.67</v>
      </c>
      <c r="E21" s="374">
        <f t="shared" si="1"/>
        <v>48011563.92</v>
      </c>
      <c r="F21" s="369">
        <f>'T14-penFondy'!E39</f>
        <v>46798268.27</v>
      </c>
      <c r="G21" s="357">
        <f aca="true" t="shared" si="2" ref="G21:G27">E21-F21</f>
        <v>1213295.6499999985</v>
      </c>
    </row>
    <row r="22" spans="2:7" ht="12.75">
      <c r="B22" s="24" t="s">
        <v>331</v>
      </c>
      <c r="C22" s="369">
        <f>'T14-penFondy'!E42</f>
        <v>2912316.65</v>
      </c>
      <c r="D22" s="534">
        <v>59506.02</v>
      </c>
      <c r="E22" s="374">
        <f t="shared" si="1"/>
        <v>2971822.67</v>
      </c>
      <c r="F22" s="369">
        <f>'T14-penFondy'!E44</f>
        <v>0</v>
      </c>
      <c r="G22" s="357">
        <f t="shared" si="2"/>
        <v>2971822.67</v>
      </c>
    </row>
    <row r="23" spans="2:7" ht="12.75">
      <c r="B23" s="24" t="s">
        <v>332</v>
      </c>
      <c r="C23" s="369">
        <f>'T14-penFondy'!E45</f>
        <v>3277774.21</v>
      </c>
      <c r="D23" s="534">
        <v>150170</v>
      </c>
      <c r="E23" s="374">
        <f t="shared" si="1"/>
        <v>3427944.21</v>
      </c>
      <c r="F23" s="369">
        <f>'T14-penFondy'!E47</f>
        <v>238903.52</v>
      </c>
      <c r="G23" s="357">
        <f t="shared" si="2"/>
        <v>3189040.69</v>
      </c>
    </row>
    <row r="24" spans="2:7" ht="12.75">
      <c r="B24" s="26" t="s">
        <v>333</v>
      </c>
      <c r="C24" s="369">
        <f>'T14-penFondy'!E48</f>
        <v>174053.88</v>
      </c>
      <c r="D24" s="534">
        <v>10508.95</v>
      </c>
      <c r="E24" s="374">
        <f>SUM(C24:D24)</f>
        <v>184562.83000000002</v>
      </c>
      <c r="F24" s="369">
        <f>'T14-penFondy'!E50</f>
        <v>66423.28</v>
      </c>
      <c r="G24" s="357">
        <f t="shared" si="2"/>
        <v>118139.55000000002</v>
      </c>
    </row>
    <row r="25" spans="2:7" ht="12.75">
      <c r="B25" s="24" t="s">
        <v>334</v>
      </c>
      <c r="C25" s="369">
        <f>'T14-penFondy'!E51</f>
        <v>34801084.82</v>
      </c>
      <c r="D25" s="535">
        <v>1482392.59</v>
      </c>
      <c r="E25" s="375">
        <f t="shared" si="1"/>
        <v>36283477.410000004</v>
      </c>
      <c r="F25" s="369">
        <f>'T14-penFondy'!E53</f>
        <v>10642399.42</v>
      </c>
      <c r="G25" s="360">
        <f t="shared" si="2"/>
        <v>25641077.990000002</v>
      </c>
    </row>
    <row r="26" spans="2:7" ht="12.75">
      <c r="B26" s="55" t="s">
        <v>202</v>
      </c>
      <c r="C26" s="369">
        <f>'T14-penFondy'!E56</f>
        <v>19209577.6</v>
      </c>
      <c r="D26" s="534">
        <v>5624495.22</v>
      </c>
      <c r="E26" s="374">
        <f t="shared" si="1"/>
        <v>24834072.82</v>
      </c>
      <c r="F26" s="369">
        <f>'T14-penFondy'!E58</f>
        <v>0</v>
      </c>
      <c r="G26" s="357">
        <f t="shared" si="2"/>
        <v>24834072.82</v>
      </c>
    </row>
    <row r="27" spans="2:7" ht="12.75">
      <c r="B27" s="24" t="s">
        <v>3</v>
      </c>
      <c r="C27" s="369">
        <f>'T14-penFondy'!E59</f>
        <v>2542140.39</v>
      </c>
      <c r="D27" s="534">
        <v>54763.64</v>
      </c>
      <c r="E27" s="374">
        <f t="shared" si="1"/>
        <v>2596904.0300000003</v>
      </c>
      <c r="F27" s="369">
        <f>'T14-penFondy'!E61</f>
        <v>0</v>
      </c>
      <c r="G27" s="357">
        <f t="shared" si="2"/>
        <v>2596904.0300000003</v>
      </c>
    </row>
    <row r="28" spans="2:7" ht="13.5" thickBot="1">
      <c r="B28" s="24" t="s">
        <v>443</v>
      </c>
      <c r="C28" s="369">
        <f>'T14-penFondy'!E63</f>
        <v>444639.87</v>
      </c>
      <c r="D28" s="534">
        <v>73070.96</v>
      </c>
      <c r="E28" s="374">
        <f t="shared" si="1"/>
        <v>517710.83</v>
      </c>
      <c r="F28" s="369">
        <f>'T14-penFondy'!E64</f>
        <v>0</v>
      </c>
      <c r="G28" s="357">
        <f>E28-F28-0.002</f>
        <v>517710.82800000004</v>
      </c>
    </row>
    <row r="29" spans="2:7" ht="13.5" customHeight="1" thickBot="1">
      <c r="B29" s="70" t="s">
        <v>6</v>
      </c>
      <c r="C29" s="471">
        <f>SUM(C20:C28)</f>
        <v>707546982.7</v>
      </c>
      <c r="D29" s="459">
        <f>SUM(D20:D28)</f>
        <v>8553125.290000001</v>
      </c>
      <c r="E29" s="377">
        <f>SUM(E20:E28)</f>
        <v>716100107.99</v>
      </c>
      <c r="F29" s="376">
        <f>SUM(F20:F28)-0.008</f>
        <v>648255074.8819999</v>
      </c>
      <c r="G29" s="372">
        <f>SUM(G20:G28)</f>
        <v>67845033.09799999</v>
      </c>
    </row>
    <row r="30" ht="13.5" thickBot="1"/>
    <row r="31" spans="2:5" ht="13.5" thickBot="1">
      <c r="B31" s="67" t="s">
        <v>7</v>
      </c>
      <c r="C31" s="74">
        <v>1</v>
      </c>
      <c r="D31" s="75">
        <v>2</v>
      </c>
      <c r="E31" s="68">
        <v>3</v>
      </c>
    </row>
    <row r="32" spans="2:5" ht="13.5" thickTop="1">
      <c r="B32" s="69" t="s">
        <v>330</v>
      </c>
      <c r="C32" s="367">
        <f>'T14-penFondy'!E73</f>
        <v>16677129.37</v>
      </c>
      <c r="D32" s="533">
        <v>190000</v>
      </c>
      <c r="E32" s="378">
        <f aca="true" t="shared" si="3" ref="E32:E40">SUM(C32:D32)</f>
        <v>16867129.369999997</v>
      </c>
    </row>
    <row r="33" spans="2:5" ht="12.75">
      <c r="B33" s="24" t="s">
        <v>201</v>
      </c>
      <c r="C33" s="369">
        <f>'T14-penFondy'!E74</f>
        <v>4431823.39</v>
      </c>
      <c r="D33" s="534"/>
      <c r="E33" s="370">
        <f t="shared" si="3"/>
        <v>4431823.39</v>
      </c>
    </row>
    <row r="34" spans="2:5" ht="12.75">
      <c r="B34" s="24" t="s">
        <v>331</v>
      </c>
      <c r="C34" s="369">
        <f>'T14-penFondy'!E75</f>
        <v>6186668.89</v>
      </c>
      <c r="D34" s="534"/>
      <c r="E34" s="370">
        <f t="shared" si="3"/>
        <v>6186668.89</v>
      </c>
    </row>
    <row r="35" spans="2:5" ht="12.75">
      <c r="B35" s="24" t="s">
        <v>332</v>
      </c>
      <c r="C35" s="369">
        <f>'T14-penFondy'!E76</f>
        <v>108276352.76</v>
      </c>
      <c r="D35" s="534"/>
      <c r="E35" s="370">
        <f>SUM(C35:D35)</f>
        <v>108276352.76</v>
      </c>
    </row>
    <row r="36" spans="2:5" ht="12.75">
      <c r="B36" s="26" t="s">
        <v>333</v>
      </c>
      <c r="C36" s="369">
        <f>'T14-penFondy'!E77</f>
        <v>454604.1</v>
      </c>
      <c r="D36" s="534"/>
      <c r="E36" s="370">
        <f t="shared" si="3"/>
        <v>454604.1</v>
      </c>
    </row>
    <row r="37" spans="2:5" ht="12.75">
      <c r="B37" s="24" t="s">
        <v>334</v>
      </c>
      <c r="C37" s="369">
        <f>'T14-penFondy'!E78</f>
        <v>46219426.74</v>
      </c>
      <c r="D37" s="535"/>
      <c r="E37" s="379">
        <f t="shared" si="3"/>
        <v>46219426.74</v>
      </c>
    </row>
    <row r="38" spans="2:5" ht="12.75">
      <c r="B38" s="55" t="s">
        <v>202</v>
      </c>
      <c r="C38" s="369">
        <f>'T14-penFondy'!E79</f>
        <v>22616328</v>
      </c>
      <c r="D38" s="534"/>
      <c r="E38" s="370">
        <f>SUM(C38:D38)</f>
        <v>22616328</v>
      </c>
    </row>
    <row r="39" spans="2:5" ht="12.75">
      <c r="B39" s="24" t="s">
        <v>3</v>
      </c>
      <c r="C39" s="369">
        <f>'T14-penFondy'!E80</f>
        <v>623301</v>
      </c>
      <c r="D39" s="534">
        <v>30000</v>
      </c>
      <c r="E39" s="370">
        <f t="shared" si="3"/>
        <v>653301</v>
      </c>
    </row>
    <row r="40" spans="2:5" ht="13.5" thickBot="1">
      <c r="B40" s="24" t="s">
        <v>443</v>
      </c>
      <c r="C40" s="380">
        <f>'T14-penFondy'!E81</f>
        <v>379889</v>
      </c>
      <c r="D40" s="534"/>
      <c r="E40" s="370">
        <f t="shared" si="3"/>
        <v>379889</v>
      </c>
    </row>
    <row r="41" spans="2:7" ht="13.5" customHeight="1" thickBot="1">
      <c r="B41" s="70" t="s">
        <v>8</v>
      </c>
      <c r="C41" s="471">
        <f>SUM(C32:C40)</f>
        <v>205865523.25</v>
      </c>
      <c r="D41" s="459">
        <f>SUM(D32:D40)</f>
        <v>220000</v>
      </c>
      <c r="E41" s="372">
        <f>SUM(E32:E40)</f>
        <v>206085523.25</v>
      </c>
      <c r="G41" s="7"/>
    </row>
    <row r="42" spans="2:7" ht="13.5" thickBot="1">
      <c r="B42" s="10"/>
      <c r="C42" s="11"/>
      <c r="D42" s="12"/>
      <c r="E42" s="12"/>
      <c r="G42" s="7"/>
    </row>
    <row r="43" spans="2:5" ht="13.5" thickBot="1">
      <c r="B43" s="67" t="s">
        <v>9</v>
      </c>
      <c r="C43" s="74">
        <v>1</v>
      </c>
      <c r="D43" s="75">
        <v>2</v>
      </c>
      <c r="E43" s="68">
        <v>3</v>
      </c>
    </row>
    <row r="44" spans="2:5" ht="13.5" thickTop="1">
      <c r="B44" s="69" t="s">
        <v>330</v>
      </c>
      <c r="C44" s="381">
        <f aca="true" t="shared" si="4" ref="C44:C52">SUM(C7,C20,C32)</f>
        <v>613971810.54</v>
      </c>
      <c r="D44" s="382">
        <f aca="true" t="shared" si="5" ref="D44:E46">D7+D20+D32</f>
        <v>797839.24</v>
      </c>
      <c r="E44" s="378">
        <f>E7+E20+E32</f>
        <v>614769649.78</v>
      </c>
    </row>
    <row r="45" spans="2:5" ht="12.75">
      <c r="B45" s="24" t="s">
        <v>201</v>
      </c>
      <c r="C45" s="383">
        <f t="shared" si="4"/>
        <v>52331030.49</v>
      </c>
      <c r="D45" s="384">
        <f t="shared" si="5"/>
        <v>717778.67</v>
      </c>
      <c r="E45" s="378">
        <f t="shared" si="5"/>
        <v>53048809.160000004</v>
      </c>
    </row>
    <row r="46" spans="2:5" ht="12.75">
      <c r="B46" s="24" t="s">
        <v>331</v>
      </c>
      <c r="C46" s="383">
        <f t="shared" si="4"/>
        <v>9098985.54</v>
      </c>
      <c r="D46" s="384">
        <f t="shared" si="5"/>
        <v>297531.02</v>
      </c>
      <c r="E46" s="378">
        <f t="shared" si="5"/>
        <v>9396516.559999999</v>
      </c>
    </row>
    <row r="47" spans="2:5" ht="12.75">
      <c r="B47" s="24" t="s">
        <v>332</v>
      </c>
      <c r="C47" s="383">
        <f t="shared" si="4"/>
        <v>112988046.77000001</v>
      </c>
      <c r="D47" s="384">
        <f aca="true" t="shared" si="6" ref="D47:E52">D10+D23+D35</f>
        <v>150170</v>
      </c>
      <c r="E47" s="378">
        <f t="shared" si="6"/>
        <v>113138216.77000001</v>
      </c>
    </row>
    <row r="48" spans="2:5" ht="12.75">
      <c r="B48" s="26" t="s">
        <v>333</v>
      </c>
      <c r="C48" s="383">
        <f t="shared" si="4"/>
        <v>628657.98</v>
      </c>
      <c r="D48" s="384">
        <f t="shared" si="6"/>
        <v>10508.95</v>
      </c>
      <c r="E48" s="378">
        <f t="shared" si="6"/>
        <v>639166.9299999999</v>
      </c>
    </row>
    <row r="49" spans="2:5" ht="12.75">
      <c r="B49" s="24" t="s">
        <v>334</v>
      </c>
      <c r="C49" s="383">
        <f t="shared" si="4"/>
        <v>81709265.56</v>
      </c>
      <c r="D49" s="384">
        <f t="shared" si="6"/>
        <v>2113472.59</v>
      </c>
      <c r="E49" s="378">
        <f t="shared" si="6"/>
        <v>83822738.15</v>
      </c>
    </row>
    <row r="50" spans="2:5" ht="12.75">
      <c r="B50" s="55" t="s">
        <v>202</v>
      </c>
      <c r="C50" s="383">
        <f t="shared" si="4"/>
        <v>42841798.6</v>
      </c>
      <c r="D50" s="384">
        <f t="shared" si="6"/>
        <v>5874495.22</v>
      </c>
      <c r="E50" s="378">
        <f t="shared" si="6"/>
        <v>48716293.82</v>
      </c>
    </row>
    <row r="51" spans="2:5" ht="12.75">
      <c r="B51" s="24" t="s">
        <v>3</v>
      </c>
      <c r="C51" s="383">
        <f t="shared" si="4"/>
        <v>3259217.37</v>
      </c>
      <c r="D51" s="384">
        <f t="shared" si="6"/>
        <v>120763.64</v>
      </c>
      <c r="E51" s="378">
        <f t="shared" si="6"/>
        <v>3379981.0100000002</v>
      </c>
    </row>
    <row r="52" spans="2:5" ht="13.5" thickBot="1">
      <c r="B52" s="24" t="s">
        <v>443</v>
      </c>
      <c r="C52" s="383">
        <f t="shared" si="4"/>
        <v>888660.87</v>
      </c>
      <c r="D52" s="384">
        <f t="shared" si="6"/>
        <v>109070.96</v>
      </c>
      <c r="E52" s="378">
        <f t="shared" si="6"/>
        <v>997731.8300000001</v>
      </c>
    </row>
    <row r="53" spans="2:7" ht="13.5" customHeight="1" thickBot="1">
      <c r="B53" s="70" t="s">
        <v>10</v>
      </c>
      <c r="C53" s="471">
        <f>SUM(C44:C52)</f>
        <v>917717473.7199999</v>
      </c>
      <c r="D53" s="459">
        <f>SUM(D44:D52)</f>
        <v>10191630.290000001</v>
      </c>
      <c r="E53" s="372">
        <f>SUM(E44:E52)</f>
        <v>927909104.0099999</v>
      </c>
      <c r="G53" s="7"/>
    </row>
  </sheetData>
  <sheetProtection/>
  <mergeCells count="1">
    <mergeCell ref="F17:G17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view="pageBreakPreview" zoomScale="60" zoomScaleNormal="75" zoomScalePageLayoutView="0" workbookViewId="0" topLeftCell="A1">
      <selection activeCell="V33" sqref="V33"/>
    </sheetView>
  </sheetViews>
  <sheetFormatPr defaultColWidth="9.140625" defaultRowHeight="12.75"/>
  <cols>
    <col min="1" max="1" width="2.7109375" style="77" customWidth="1"/>
    <col min="2" max="2" width="13.421875" style="77" customWidth="1"/>
    <col min="3" max="3" width="12.140625" style="77" customWidth="1"/>
    <col min="4" max="4" width="46.8515625" style="77" customWidth="1"/>
    <col min="5" max="5" width="14.00390625" style="77" bestFit="1" customWidth="1"/>
    <col min="6" max="6" width="15.421875" style="77" bestFit="1" customWidth="1"/>
    <col min="7" max="7" width="14.57421875" style="77" customWidth="1"/>
    <col min="8" max="8" width="11.57421875" style="77" bestFit="1" customWidth="1"/>
    <col min="9" max="9" width="14.421875" style="77" bestFit="1" customWidth="1"/>
    <col min="10" max="10" width="15.421875" style="77" bestFit="1" customWidth="1"/>
    <col min="11" max="11" width="9.421875" style="77" customWidth="1"/>
    <col min="12" max="12" width="9.140625" style="77" customWidth="1"/>
    <col min="13" max="13" width="11.421875" style="77" bestFit="1" customWidth="1"/>
    <col min="14" max="16384" width="9.140625" style="77" customWidth="1"/>
  </cols>
  <sheetData>
    <row r="1" spans="2:10" ht="15.75">
      <c r="B1" s="53"/>
      <c r="C1" s="53"/>
      <c r="D1" s="53" t="s">
        <v>544</v>
      </c>
      <c r="J1" s="53" t="s">
        <v>626</v>
      </c>
    </row>
    <row r="2" spans="2:10" ht="15.75">
      <c r="B2" s="83"/>
      <c r="C2" s="83"/>
      <c r="D2" s="83" t="s">
        <v>207</v>
      </c>
      <c r="J2" s="53"/>
    </row>
    <row r="3" ht="18" customHeight="1" thickBot="1">
      <c r="J3" s="403" t="s">
        <v>317</v>
      </c>
    </row>
    <row r="4" spans="2:11" ht="39" thickBot="1">
      <c r="B4" s="573" t="s">
        <v>113</v>
      </c>
      <c r="C4" s="573" t="s">
        <v>464</v>
      </c>
      <c r="D4" s="148" t="s">
        <v>114</v>
      </c>
      <c r="E4" s="148" t="s">
        <v>437</v>
      </c>
      <c r="F4" s="148" t="s">
        <v>438</v>
      </c>
      <c r="G4" s="148" t="s">
        <v>439</v>
      </c>
      <c r="H4" s="148" t="s">
        <v>440</v>
      </c>
      <c r="I4" s="148" t="s">
        <v>441</v>
      </c>
      <c r="J4" s="148" t="s">
        <v>442</v>
      </c>
      <c r="K4" s="402" t="s">
        <v>179</v>
      </c>
    </row>
    <row r="5" spans="2:11" ht="15">
      <c r="B5" s="294" t="s">
        <v>410</v>
      </c>
      <c r="C5" s="616" t="s">
        <v>463</v>
      </c>
      <c r="D5" s="567" t="s">
        <v>462</v>
      </c>
      <c r="E5" s="271">
        <v>132570</v>
      </c>
      <c r="F5" s="235">
        <v>45242</v>
      </c>
      <c r="G5" s="271">
        <v>45074</v>
      </c>
      <c r="H5" s="271">
        <v>1989</v>
      </c>
      <c r="I5" s="685">
        <v>1375788</v>
      </c>
      <c r="J5" s="607">
        <f>SUM(E5:I5)</f>
        <v>1600663</v>
      </c>
      <c r="K5" s="610">
        <v>1</v>
      </c>
    </row>
    <row r="6" spans="2:11" ht="15.75" thickBot="1">
      <c r="B6" s="294" t="s">
        <v>410</v>
      </c>
      <c r="C6" s="616" t="s">
        <v>505</v>
      </c>
      <c r="D6" s="567" t="s">
        <v>462</v>
      </c>
      <c r="E6" s="244">
        <v>1127430</v>
      </c>
      <c r="F6" s="235">
        <v>384758</v>
      </c>
      <c r="G6" s="244">
        <v>514144</v>
      </c>
      <c r="H6" s="244">
        <v>16911</v>
      </c>
      <c r="I6" s="235">
        <v>11096148</v>
      </c>
      <c r="J6" s="608">
        <f>SUM(E6:I6)</f>
        <v>13139391</v>
      </c>
      <c r="K6" s="611">
        <v>2</v>
      </c>
    </row>
    <row r="7" spans="2:11" ht="15.75" thickBot="1">
      <c r="B7" s="525" t="s">
        <v>213</v>
      </c>
      <c r="C7" s="617"/>
      <c r="D7" s="526" t="s">
        <v>180</v>
      </c>
      <c r="E7" s="695">
        <f>SUM(E5:E6)</f>
        <v>1260000</v>
      </c>
      <c r="F7" s="695">
        <f aca="true" t="shared" si="0" ref="F7:K7">SUM(F5:F6)</f>
        <v>430000</v>
      </c>
      <c r="G7" s="695">
        <f t="shared" si="0"/>
        <v>559218</v>
      </c>
      <c r="H7" s="695">
        <f t="shared" si="0"/>
        <v>18900</v>
      </c>
      <c r="I7" s="695">
        <f t="shared" si="0"/>
        <v>12471936</v>
      </c>
      <c r="J7" s="695">
        <f t="shared" si="0"/>
        <v>14740054</v>
      </c>
      <c r="K7" s="696">
        <f t="shared" si="0"/>
        <v>3</v>
      </c>
    </row>
    <row r="8" spans="2:11" ht="15">
      <c r="B8" s="294" t="s">
        <v>410</v>
      </c>
      <c r="C8" s="616" t="s">
        <v>463</v>
      </c>
      <c r="D8" s="567" t="s">
        <v>462</v>
      </c>
      <c r="E8" s="271"/>
      <c r="F8" s="235"/>
      <c r="G8" s="271"/>
      <c r="H8" s="271"/>
      <c r="I8" s="686">
        <v>1273569</v>
      </c>
      <c r="J8" s="607">
        <f>SUM(E8:I8)</f>
        <v>1273569</v>
      </c>
      <c r="K8" s="610"/>
    </row>
    <row r="9" spans="2:11" ht="15.75" thickBot="1">
      <c r="B9" s="294" t="s">
        <v>410</v>
      </c>
      <c r="C9" s="616" t="s">
        <v>506</v>
      </c>
      <c r="D9" s="567" t="s">
        <v>462</v>
      </c>
      <c r="E9" s="244"/>
      <c r="F9" s="235"/>
      <c r="G9" s="244"/>
      <c r="H9" s="244"/>
      <c r="I9" s="685">
        <v>10909897</v>
      </c>
      <c r="J9" s="608">
        <f>SUM(E9:I9)</f>
        <v>10909897</v>
      </c>
      <c r="K9" s="611"/>
    </row>
    <row r="10" spans="2:11" ht="15.75" thickBot="1">
      <c r="B10" s="687"/>
      <c r="C10" s="688"/>
      <c r="D10" s="527" t="s">
        <v>181</v>
      </c>
      <c r="E10" s="697">
        <f>SUM(E8:E9)</f>
        <v>0</v>
      </c>
      <c r="F10" s="697">
        <f aca="true" t="shared" si="1" ref="F10:K10">SUM(F8:F9)</f>
        <v>0</v>
      </c>
      <c r="G10" s="697">
        <f t="shared" si="1"/>
        <v>0</v>
      </c>
      <c r="H10" s="697">
        <f t="shared" si="1"/>
        <v>0</v>
      </c>
      <c r="I10" s="697">
        <f t="shared" si="1"/>
        <v>12183466</v>
      </c>
      <c r="J10" s="697">
        <f t="shared" si="1"/>
        <v>12183466</v>
      </c>
      <c r="K10" s="698">
        <f t="shared" si="1"/>
        <v>0</v>
      </c>
    </row>
    <row r="11" spans="2:11" ht="15.75" thickBot="1">
      <c r="B11" s="689"/>
      <c r="C11" s="690"/>
      <c r="D11" s="699" t="s">
        <v>481</v>
      </c>
      <c r="E11" s="700">
        <f aca="true" t="shared" si="2" ref="E11:K11">E7+E10</f>
        <v>1260000</v>
      </c>
      <c r="F11" s="700">
        <f t="shared" si="2"/>
        <v>430000</v>
      </c>
      <c r="G11" s="700">
        <f t="shared" si="2"/>
        <v>559218</v>
      </c>
      <c r="H11" s="700">
        <f t="shared" si="2"/>
        <v>18900</v>
      </c>
      <c r="I11" s="700">
        <f t="shared" si="2"/>
        <v>24655402</v>
      </c>
      <c r="J11" s="700">
        <f t="shared" si="2"/>
        <v>26923520</v>
      </c>
      <c r="K11" s="701">
        <f t="shared" si="2"/>
        <v>3</v>
      </c>
    </row>
    <row r="12" spans="2:11" ht="15">
      <c r="B12" s="294" t="s">
        <v>487</v>
      </c>
      <c r="C12" s="616" t="s">
        <v>507</v>
      </c>
      <c r="D12" s="567" t="s">
        <v>488</v>
      </c>
      <c r="E12" s="271">
        <v>8879559</v>
      </c>
      <c r="F12" s="271">
        <v>2695560</v>
      </c>
      <c r="G12" s="271">
        <v>1812861</v>
      </c>
      <c r="H12" s="271">
        <v>73676</v>
      </c>
      <c r="I12" s="685">
        <v>1124229</v>
      </c>
      <c r="J12" s="246">
        <f>SUM(E12:I12)</f>
        <v>14585885</v>
      </c>
      <c r="K12" s="691">
        <v>16.79</v>
      </c>
    </row>
    <row r="13" spans="2:11" ht="15.75" thickBot="1">
      <c r="B13" s="294" t="s">
        <v>487</v>
      </c>
      <c r="C13" s="616" t="s">
        <v>508</v>
      </c>
      <c r="D13" s="567" t="s">
        <v>488</v>
      </c>
      <c r="E13" s="271">
        <v>37368142</v>
      </c>
      <c r="F13" s="271">
        <v>11343803</v>
      </c>
      <c r="G13" s="271">
        <v>10124460</v>
      </c>
      <c r="H13" s="271">
        <v>436106</v>
      </c>
      <c r="I13" s="685">
        <v>6627814</v>
      </c>
      <c r="J13" s="246">
        <f>SUM(E13:I13)</f>
        <v>65900325</v>
      </c>
      <c r="K13" s="691">
        <v>70.58</v>
      </c>
    </row>
    <row r="14" spans="2:11" ht="15.75" thickBot="1">
      <c r="B14" s="525" t="s">
        <v>213</v>
      </c>
      <c r="C14" s="617"/>
      <c r="D14" s="526" t="s">
        <v>180</v>
      </c>
      <c r="E14" s="695">
        <f aca="true" t="shared" si="3" ref="E14:J14">SUM(E12:E13)</f>
        <v>46247701</v>
      </c>
      <c r="F14" s="695">
        <f t="shared" si="3"/>
        <v>14039363</v>
      </c>
      <c r="G14" s="695">
        <f t="shared" si="3"/>
        <v>11937321</v>
      </c>
      <c r="H14" s="695">
        <f t="shared" si="3"/>
        <v>509782</v>
      </c>
      <c r="I14" s="695">
        <f t="shared" si="3"/>
        <v>7752043</v>
      </c>
      <c r="J14" s="695">
        <f t="shared" si="3"/>
        <v>80486210</v>
      </c>
      <c r="K14" s="696">
        <f>SUM(K12:K13)</f>
        <v>87.37</v>
      </c>
    </row>
    <row r="15" spans="2:11" ht="15">
      <c r="B15" s="149" t="s">
        <v>487</v>
      </c>
      <c r="C15" s="618" t="s">
        <v>507</v>
      </c>
      <c r="D15" s="568" t="s">
        <v>488</v>
      </c>
      <c r="E15" s="612"/>
      <c r="F15" s="612"/>
      <c r="G15" s="266">
        <v>1684060.42</v>
      </c>
      <c r="H15" s="266">
        <v>67131.92</v>
      </c>
      <c r="I15" s="686">
        <v>970472.66</v>
      </c>
      <c r="J15" s="246">
        <f>SUM(E15:I15)</f>
        <v>2721665</v>
      </c>
      <c r="K15" s="702"/>
    </row>
    <row r="16" spans="2:11" ht="15.75" thickBot="1">
      <c r="B16" s="294" t="s">
        <v>487</v>
      </c>
      <c r="C16" s="616" t="s">
        <v>509</v>
      </c>
      <c r="D16" s="567" t="s">
        <v>488</v>
      </c>
      <c r="E16" s="612"/>
      <c r="F16" s="612"/>
      <c r="G16" s="271">
        <v>4591747.89</v>
      </c>
      <c r="H16" s="271">
        <v>156457.08</v>
      </c>
      <c r="I16" s="685">
        <v>2187384.99</v>
      </c>
      <c r="J16" s="246">
        <f>SUM(E16:I16)</f>
        <v>6935589.96</v>
      </c>
      <c r="K16" s="702"/>
    </row>
    <row r="17" spans="2:11" ht="15.75" thickBot="1">
      <c r="B17" s="687"/>
      <c r="C17" s="688"/>
      <c r="D17" s="527" t="s">
        <v>181</v>
      </c>
      <c r="E17" s="697">
        <f aca="true" t="shared" si="4" ref="E17:K17">SUM(E15:E16)</f>
        <v>0</v>
      </c>
      <c r="F17" s="697">
        <f t="shared" si="4"/>
        <v>0</v>
      </c>
      <c r="G17" s="697">
        <f t="shared" si="4"/>
        <v>6275808.31</v>
      </c>
      <c r="H17" s="697">
        <f t="shared" si="4"/>
        <v>223589</v>
      </c>
      <c r="I17" s="697">
        <f t="shared" si="4"/>
        <v>3157857.6500000004</v>
      </c>
      <c r="J17" s="697">
        <f t="shared" si="4"/>
        <v>9657254.96</v>
      </c>
      <c r="K17" s="698">
        <f t="shared" si="4"/>
        <v>0</v>
      </c>
    </row>
    <row r="18" spans="2:11" ht="15.75" thickBot="1">
      <c r="B18" s="689"/>
      <c r="C18" s="690"/>
      <c r="D18" s="699" t="s">
        <v>214</v>
      </c>
      <c r="E18" s="700">
        <f aca="true" t="shared" si="5" ref="E18:K18">E14+E17</f>
        <v>46247701</v>
      </c>
      <c r="F18" s="700">
        <f t="shared" si="5"/>
        <v>14039363</v>
      </c>
      <c r="G18" s="700">
        <f t="shared" si="5"/>
        <v>18213129.31</v>
      </c>
      <c r="H18" s="700">
        <f t="shared" si="5"/>
        <v>733371</v>
      </c>
      <c r="I18" s="700">
        <f t="shared" si="5"/>
        <v>10909900.65</v>
      </c>
      <c r="J18" s="700">
        <f t="shared" si="5"/>
        <v>90143464.96000001</v>
      </c>
      <c r="K18" s="703">
        <f t="shared" si="5"/>
        <v>87.37</v>
      </c>
    </row>
    <row r="19" spans="2:11" ht="15">
      <c r="B19" s="149" t="s">
        <v>521</v>
      </c>
      <c r="C19" s="618" t="s">
        <v>507</v>
      </c>
      <c r="D19" s="568" t="s">
        <v>520</v>
      </c>
      <c r="E19" s="612"/>
      <c r="F19" s="612"/>
      <c r="G19" s="612"/>
      <c r="H19" s="612"/>
      <c r="I19" s="266">
        <v>5655</v>
      </c>
      <c r="J19" s="262">
        <f>SUM(E19:I19)</f>
        <v>5655</v>
      </c>
      <c r="K19" s="704"/>
    </row>
    <row r="20" spans="2:11" ht="15.75" thickBot="1">
      <c r="B20" s="294" t="s">
        <v>521</v>
      </c>
      <c r="C20" s="616" t="s">
        <v>509</v>
      </c>
      <c r="D20" s="567" t="s">
        <v>520</v>
      </c>
      <c r="E20" s="244"/>
      <c r="F20" s="244"/>
      <c r="G20" s="244"/>
      <c r="H20" s="244"/>
      <c r="I20" s="271">
        <v>24345</v>
      </c>
      <c r="J20" s="246">
        <f>SUM(E20:I20)</f>
        <v>24345</v>
      </c>
      <c r="K20" s="702"/>
    </row>
    <row r="21" spans="2:11" ht="15.75" thickBot="1">
      <c r="B21" s="525"/>
      <c r="C21" s="617"/>
      <c r="D21" s="526" t="s">
        <v>180</v>
      </c>
      <c r="E21" s="705">
        <f aca="true" t="shared" si="6" ref="E21:K21">SUM(E19:E20)</f>
        <v>0</v>
      </c>
      <c r="F21" s="705">
        <f t="shared" si="6"/>
        <v>0</v>
      </c>
      <c r="G21" s="705">
        <f t="shared" si="6"/>
        <v>0</v>
      </c>
      <c r="H21" s="705">
        <f t="shared" si="6"/>
        <v>0</v>
      </c>
      <c r="I21" s="705">
        <f t="shared" si="6"/>
        <v>30000</v>
      </c>
      <c r="J21" s="705">
        <f t="shared" si="6"/>
        <v>30000</v>
      </c>
      <c r="K21" s="706">
        <f t="shared" si="6"/>
        <v>0</v>
      </c>
    </row>
    <row r="22" spans="2:11" ht="15.75" thickBot="1">
      <c r="B22" s="689"/>
      <c r="C22" s="690"/>
      <c r="D22" s="699" t="s">
        <v>215</v>
      </c>
      <c r="E22" s="707">
        <f>E21</f>
        <v>0</v>
      </c>
      <c r="F22" s="707">
        <f aca="true" t="shared" si="7" ref="F22:K22">F21</f>
        <v>0</v>
      </c>
      <c r="G22" s="707">
        <f t="shared" si="7"/>
        <v>0</v>
      </c>
      <c r="H22" s="707">
        <f t="shared" si="7"/>
        <v>0</v>
      </c>
      <c r="I22" s="707">
        <f t="shared" si="7"/>
        <v>30000</v>
      </c>
      <c r="J22" s="707">
        <f t="shared" si="7"/>
        <v>30000</v>
      </c>
      <c r="K22" s="708">
        <f t="shared" si="7"/>
        <v>0</v>
      </c>
    </row>
    <row r="23" spans="2:11" ht="15">
      <c r="B23" s="294" t="s">
        <v>540</v>
      </c>
      <c r="C23" s="616" t="s">
        <v>507</v>
      </c>
      <c r="D23" s="567" t="s">
        <v>541</v>
      </c>
      <c r="E23" s="271">
        <v>2155460</v>
      </c>
      <c r="F23" s="271">
        <v>2218522</v>
      </c>
      <c r="G23" s="271">
        <v>1584109</v>
      </c>
      <c r="H23" s="271">
        <v>32333</v>
      </c>
      <c r="I23" s="685">
        <v>1972610</v>
      </c>
      <c r="J23" s="262">
        <f>SUM(E23:I23)</f>
        <v>7963034</v>
      </c>
      <c r="K23" s="630">
        <v>5.96</v>
      </c>
    </row>
    <row r="24" spans="2:11" ht="15">
      <c r="B24" s="294" t="s">
        <v>540</v>
      </c>
      <c r="C24" s="616" t="s">
        <v>509</v>
      </c>
      <c r="D24" s="567" t="s">
        <v>541</v>
      </c>
      <c r="E24" s="271">
        <v>9070890</v>
      </c>
      <c r="F24" s="271">
        <v>9336279</v>
      </c>
      <c r="G24" s="271">
        <v>6666459</v>
      </c>
      <c r="H24" s="271">
        <v>136066</v>
      </c>
      <c r="I24" s="685">
        <v>8301396</v>
      </c>
      <c r="J24" s="262">
        <f>SUM(E24:I24)</f>
        <v>33511090</v>
      </c>
      <c r="K24" s="626">
        <v>25.04</v>
      </c>
    </row>
    <row r="25" spans="2:11" ht="15">
      <c r="B25" s="294" t="s">
        <v>542</v>
      </c>
      <c r="C25" s="616" t="s">
        <v>507</v>
      </c>
      <c r="D25" s="567" t="s">
        <v>543</v>
      </c>
      <c r="E25" s="612"/>
      <c r="F25" s="612"/>
      <c r="G25" s="244"/>
      <c r="H25" s="244"/>
      <c r="I25" s="271">
        <v>11310</v>
      </c>
      <c r="J25" s="262">
        <f>SUM(E25:I25)</f>
        <v>11310</v>
      </c>
      <c r="K25" s="692"/>
    </row>
    <row r="26" spans="2:11" ht="15.75" thickBot="1">
      <c r="B26" s="294" t="s">
        <v>542</v>
      </c>
      <c r="C26" s="616" t="s">
        <v>508</v>
      </c>
      <c r="D26" s="567" t="s">
        <v>543</v>
      </c>
      <c r="E26" s="612"/>
      <c r="F26" s="612"/>
      <c r="G26" s="244"/>
      <c r="H26" s="244"/>
      <c r="I26" s="271">
        <v>48690</v>
      </c>
      <c r="J26" s="262">
        <f>SUM(E26:I26)</f>
        <v>48690</v>
      </c>
      <c r="K26" s="692"/>
    </row>
    <row r="27" spans="2:11" ht="15.75" thickBot="1">
      <c r="B27" s="525"/>
      <c r="C27" s="617"/>
      <c r="D27" s="526" t="s">
        <v>180</v>
      </c>
      <c r="E27" s="705">
        <f aca="true" t="shared" si="8" ref="E27:K27">SUM(E23:E26)</f>
        <v>11226350</v>
      </c>
      <c r="F27" s="705">
        <f t="shared" si="8"/>
        <v>11554801</v>
      </c>
      <c r="G27" s="705">
        <f t="shared" si="8"/>
        <v>8250568</v>
      </c>
      <c r="H27" s="705">
        <f t="shared" si="8"/>
        <v>168399</v>
      </c>
      <c r="I27" s="705">
        <f t="shared" si="8"/>
        <v>10334006</v>
      </c>
      <c r="J27" s="705">
        <f t="shared" si="8"/>
        <v>41534124</v>
      </c>
      <c r="K27" s="706">
        <f t="shared" si="8"/>
        <v>31</v>
      </c>
    </row>
    <row r="28" spans="2:11" ht="15">
      <c r="B28" s="294" t="s">
        <v>427</v>
      </c>
      <c r="C28" s="616" t="s">
        <v>465</v>
      </c>
      <c r="D28" s="567" t="s">
        <v>467</v>
      </c>
      <c r="E28" s="612"/>
      <c r="F28" s="612"/>
      <c r="G28" s="612"/>
      <c r="H28" s="612"/>
      <c r="I28" s="693">
        <v>385.5</v>
      </c>
      <c r="J28" s="709">
        <f>SUM(E28:I28)</f>
        <v>385.5</v>
      </c>
      <c r="K28" s="704"/>
    </row>
    <row r="29" spans="2:11" ht="15.75" thickBot="1">
      <c r="B29" s="294" t="s">
        <v>427</v>
      </c>
      <c r="C29" s="616" t="s">
        <v>466</v>
      </c>
      <c r="D29" s="567" t="s">
        <v>467</v>
      </c>
      <c r="E29" s="244"/>
      <c r="F29" s="244"/>
      <c r="G29" s="244"/>
      <c r="H29" s="244"/>
      <c r="I29" s="693">
        <v>2184.5</v>
      </c>
      <c r="J29" s="709">
        <f>SUM(E29:I29)</f>
        <v>2184.5</v>
      </c>
      <c r="K29" s="704"/>
    </row>
    <row r="30" spans="2:11" ht="15.75" thickBot="1">
      <c r="B30" s="687"/>
      <c r="C30" s="687"/>
      <c r="D30" s="527" t="s">
        <v>181</v>
      </c>
      <c r="E30" s="697">
        <f aca="true" t="shared" si="9" ref="E30:K30">SUM(E28:E29)</f>
        <v>0</v>
      </c>
      <c r="F30" s="697">
        <f t="shared" si="9"/>
        <v>0</v>
      </c>
      <c r="G30" s="697">
        <f t="shared" si="9"/>
        <v>0</v>
      </c>
      <c r="H30" s="697">
        <f t="shared" si="9"/>
        <v>0</v>
      </c>
      <c r="I30" s="697">
        <f t="shared" si="9"/>
        <v>2570</v>
      </c>
      <c r="J30" s="697">
        <f t="shared" si="9"/>
        <v>2570</v>
      </c>
      <c r="K30" s="710">
        <f t="shared" si="9"/>
        <v>0</v>
      </c>
    </row>
    <row r="31" spans="2:11" ht="15.75" thickBot="1">
      <c r="B31" s="689"/>
      <c r="C31" s="689"/>
      <c r="D31" s="699" t="s">
        <v>216</v>
      </c>
      <c r="E31" s="707">
        <f aca="true" t="shared" si="10" ref="E31:J31">E27+E30</f>
        <v>11226350</v>
      </c>
      <c r="F31" s="707">
        <f t="shared" si="10"/>
        <v>11554801</v>
      </c>
      <c r="G31" s="707">
        <f t="shared" si="10"/>
        <v>8250568</v>
      </c>
      <c r="H31" s="707">
        <f t="shared" si="10"/>
        <v>168399</v>
      </c>
      <c r="I31" s="707">
        <f t="shared" si="10"/>
        <v>10336576</v>
      </c>
      <c r="J31" s="707">
        <f t="shared" si="10"/>
        <v>41536694</v>
      </c>
      <c r="K31" s="711">
        <f>K27+K30</f>
        <v>31</v>
      </c>
    </row>
    <row r="32" spans="2:11" ht="15">
      <c r="B32" s="149" t="s">
        <v>565</v>
      </c>
      <c r="C32" s="613" t="s">
        <v>507</v>
      </c>
      <c r="D32" s="568" t="s">
        <v>566</v>
      </c>
      <c r="E32" s="612"/>
      <c r="F32" s="612"/>
      <c r="G32" s="612"/>
      <c r="H32" s="612"/>
      <c r="I32" s="266">
        <v>58058</v>
      </c>
      <c r="J32" s="712">
        <f>SUM(E32:I32)</f>
        <v>58058</v>
      </c>
      <c r="K32" s="704"/>
    </row>
    <row r="33" spans="2:11" ht="15.75" thickBot="1">
      <c r="B33" s="294" t="s">
        <v>565</v>
      </c>
      <c r="C33" s="609" t="s">
        <v>509</v>
      </c>
      <c r="D33" s="567" t="s">
        <v>566</v>
      </c>
      <c r="E33" s="612"/>
      <c r="F33" s="612"/>
      <c r="G33" s="612"/>
      <c r="H33" s="612"/>
      <c r="I33" s="271">
        <v>249942</v>
      </c>
      <c r="J33" s="709">
        <f>SUM(E33:I33)</f>
        <v>249942</v>
      </c>
      <c r="K33" s="704"/>
    </row>
    <row r="34" spans="2:11" ht="15.75" thickBot="1">
      <c r="B34" s="525"/>
      <c r="C34" s="617"/>
      <c r="D34" s="526" t="s">
        <v>180</v>
      </c>
      <c r="E34" s="705">
        <f aca="true" t="shared" si="11" ref="E34:K34">SUM(E32:E33)</f>
        <v>0</v>
      </c>
      <c r="F34" s="705">
        <f t="shared" si="11"/>
        <v>0</v>
      </c>
      <c r="G34" s="705">
        <f t="shared" si="11"/>
        <v>0</v>
      </c>
      <c r="H34" s="705">
        <f t="shared" si="11"/>
        <v>0</v>
      </c>
      <c r="I34" s="705">
        <f t="shared" si="11"/>
        <v>308000</v>
      </c>
      <c r="J34" s="705">
        <f t="shared" si="11"/>
        <v>308000</v>
      </c>
      <c r="K34" s="706">
        <f t="shared" si="11"/>
        <v>0</v>
      </c>
    </row>
    <row r="35" spans="2:11" ht="15.75" thickBot="1">
      <c r="B35" s="689"/>
      <c r="C35" s="689"/>
      <c r="D35" s="699" t="s">
        <v>217</v>
      </c>
      <c r="E35" s="700">
        <f>SUM(E34)</f>
        <v>0</v>
      </c>
      <c r="F35" s="700">
        <f aca="true" t="shared" si="12" ref="F35:K35">SUM(F34)</f>
        <v>0</v>
      </c>
      <c r="G35" s="700">
        <f t="shared" si="12"/>
        <v>0</v>
      </c>
      <c r="H35" s="700">
        <f t="shared" si="12"/>
        <v>0</v>
      </c>
      <c r="I35" s="700">
        <f t="shared" si="12"/>
        <v>308000</v>
      </c>
      <c r="J35" s="700">
        <f t="shared" si="12"/>
        <v>308000</v>
      </c>
      <c r="K35" s="701">
        <f t="shared" si="12"/>
        <v>0</v>
      </c>
    </row>
    <row r="36" spans="2:11" ht="15.75" thickBot="1">
      <c r="B36" s="694"/>
      <c r="C36" s="694"/>
      <c r="D36" s="713" t="s">
        <v>9</v>
      </c>
      <c r="E36" s="258">
        <f aca="true" t="shared" si="13" ref="E36:K36">E11+E18+E22+E31+E35</f>
        <v>58734051</v>
      </c>
      <c r="F36" s="258">
        <f t="shared" si="13"/>
        <v>26024164</v>
      </c>
      <c r="G36" s="258">
        <f t="shared" si="13"/>
        <v>27022915.31</v>
      </c>
      <c r="H36" s="258">
        <f t="shared" si="13"/>
        <v>920670</v>
      </c>
      <c r="I36" s="258">
        <f t="shared" si="13"/>
        <v>46239878.65</v>
      </c>
      <c r="J36" s="258">
        <f t="shared" si="13"/>
        <v>158941678.96</v>
      </c>
      <c r="K36" s="627">
        <f t="shared" si="13"/>
        <v>121.37</v>
      </c>
    </row>
  </sheetData>
  <sheetProtection/>
  <printOptions/>
  <pageMargins left="0.7086614173228347" right="0.3937007874015748" top="0.7874015748031497" bottom="0" header="0.31496062992125984" footer="0.31496062992125984"/>
  <pageSetup fitToHeight="1" fitToWidth="1" horizontalDpi="1200" verticalDpi="12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zoomScale="80" zoomScaleNormal="80" zoomScalePageLayoutView="0" workbookViewId="0" topLeftCell="A19">
      <selection activeCell="I29" sqref="I29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7109375" style="1" customWidth="1"/>
    <col min="4" max="4" width="15.28125" style="1" customWidth="1"/>
    <col min="5" max="5" width="15.421875" style="1" customWidth="1"/>
    <col min="6" max="6" width="14.57421875" style="1" customWidth="1"/>
    <col min="7" max="7" width="14.7109375" style="1" customWidth="1"/>
    <col min="8" max="8" width="12.00390625" style="1" customWidth="1"/>
    <col min="9" max="9" width="16.421875" style="1" customWidth="1"/>
    <col min="10" max="16384" width="9.140625" style="1" customWidth="1"/>
  </cols>
  <sheetData>
    <row r="1" ht="15.75">
      <c r="G1" s="2" t="s">
        <v>632</v>
      </c>
    </row>
    <row r="2" ht="15.75">
      <c r="B2" s="3" t="s">
        <v>599</v>
      </c>
    </row>
    <row r="3" spans="2:6" ht="13.5" customHeight="1">
      <c r="B3" s="4" t="s">
        <v>0</v>
      </c>
      <c r="F3" s="1" t="s">
        <v>344</v>
      </c>
    </row>
    <row r="4" ht="13.5" thickBot="1">
      <c r="E4" s="4" t="s">
        <v>431</v>
      </c>
    </row>
    <row r="5" spans="2:7" ht="43.5" customHeight="1" thickBot="1">
      <c r="B5" s="28"/>
      <c r="C5" s="72" t="s">
        <v>589</v>
      </c>
      <c r="D5" s="73" t="s">
        <v>1</v>
      </c>
      <c r="E5" s="71" t="s">
        <v>601</v>
      </c>
      <c r="F5" s="5"/>
      <c r="G5" s="5"/>
    </row>
    <row r="6" spans="2:7" ht="13.5" thickBot="1">
      <c r="B6" s="67" t="s">
        <v>2</v>
      </c>
      <c r="C6" s="74">
        <v>1</v>
      </c>
      <c r="D6" s="75">
        <v>2</v>
      </c>
      <c r="E6" s="68">
        <v>3</v>
      </c>
      <c r="G6" s="5"/>
    </row>
    <row r="7" spans="2:7" ht="13.5" thickTop="1">
      <c r="B7" s="69" t="s">
        <v>330</v>
      </c>
      <c r="C7" s="520">
        <f>'T14-penFondy'!E6</f>
        <v>403071.14</v>
      </c>
      <c r="D7" s="536">
        <v>500000</v>
      </c>
      <c r="E7" s="368">
        <f>SUM(C7:D7)</f>
        <v>903071.14</v>
      </c>
      <c r="G7" s="5"/>
    </row>
    <row r="8" spans="2:7" ht="12.75">
      <c r="B8" s="24" t="s">
        <v>201</v>
      </c>
      <c r="C8" s="521">
        <f>'T14-penFondy'!E7</f>
        <v>605421.85</v>
      </c>
      <c r="D8" s="537">
        <v>200000</v>
      </c>
      <c r="E8" s="370">
        <f aca="true" t="shared" si="0" ref="E8:E15">SUM(C8:D8)</f>
        <v>805421.85</v>
      </c>
      <c r="G8" s="5"/>
    </row>
    <row r="9" spans="2:7" ht="12.75">
      <c r="B9" s="24" t="s">
        <v>331</v>
      </c>
      <c r="C9" s="521">
        <f>'T14-penFondy'!E8</f>
        <v>0</v>
      </c>
      <c r="D9" s="537">
        <v>238025</v>
      </c>
      <c r="E9" s="370">
        <f t="shared" si="0"/>
        <v>238025</v>
      </c>
      <c r="G9" s="5"/>
    </row>
    <row r="10" spans="2:7" ht="12.75">
      <c r="B10" s="24" t="s">
        <v>332</v>
      </c>
      <c r="C10" s="521">
        <f>'T14-penFondy'!E9</f>
        <v>1433919.8</v>
      </c>
      <c r="D10" s="537"/>
      <c r="E10" s="370">
        <f t="shared" si="0"/>
        <v>1433919.8</v>
      </c>
      <c r="G10" s="5"/>
    </row>
    <row r="11" spans="2:7" ht="12.75">
      <c r="B11" s="26" t="s">
        <v>333</v>
      </c>
      <c r="C11" s="521">
        <f>'T14-penFondy'!E10</f>
        <v>0</v>
      </c>
      <c r="D11" s="537"/>
      <c r="E11" s="370">
        <f t="shared" si="0"/>
        <v>0</v>
      </c>
      <c r="G11" s="5"/>
    </row>
    <row r="12" spans="2:7" ht="12.75">
      <c r="B12" s="24" t="s">
        <v>334</v>
      </c>
      <c r="C12" s="521">
        <f>'T14-penFondy'!E11</f>
        <v>688754</v>
      </c>
      <c r="D12" s="716">
        <v>1678673</v>
      </c>
      <c r="E12" s="370">
        <f>SUM(C12:D12)</f>
        <v>2367427</v>
      </c>
      <c r="G12" s="5"/>
    </row>
    <row r="13" spans="2:7" ht="12.75">
      <c r="B13" s="55" t="s">
        <v>202</v>
      </c>
      <c r="C13" s="521">
        <f>'T14-penFondy'!E12</f>
        <v>1015893</v>
      </c>
      <c r="D13" s="537">
        <v>250000</v>
      </c>
      <c r="E13" s="370">
        <f t="shared" si="0"/>
        <v>1265893</v>
      </c>
      <c r="G13" s="5"/>
    </row>
    <row r="14" spans="2:7" ht="12.75">
      <c r="B14" s="24" t="s">
        <v>3</v>
      </c>
      <c r="C14" s="521">
        <f>'T14-penFondy'!E13</f>
        <v>93775.98</v>
      </c>
      <c r="D14" s="537">
        <v>40000</v>
      </c>
      <c r="E14" s="370">
        <f t="shared" si="0"/>
        <v>133775.97999999998</v>
      </c>
      <c r="G14" s="5"/>
    </row>
    <row r="15" spans="2:7" ht="13.5" thickBot="1">
      <c r="B15" s="24" t="s">
        <v>443</v>
      </c>
      <c r="C15" s="521">
        <f>'T14-penFondy'!E14</f>
        <v>64132</v>
      </c>
      <c r="D15" s="538">
        <v>50000</v>
      </c>
      <c r="E15" s="370">
        <f t="shared" si="0"/>
        <v>114132</v>
      </c>
      <c r="G15" s="5"/>
    </row>
    <row r="16" spans="2:9" ht="13.5" customHeight="1" thickBot="1">
      <c r="B16" s="9" t="s">
        <v>4</v>
      </c>
      <c r="C16" s="471">
        <f>SUM(C7:C15)</f>
        <v>4304967.7700000005</v>
      </c>
      <c r="D16" s="459">
        <f>SUM(D7:D15)</f>
        <v>2956698</v>
      </c>
      <c r="E16" s="372">
        <f>SUM(E7:E15)</f>
        <v>7261665.77</v>
      </c>
      <c r="G16" s="5"/>
      <c r="I16" s="19"/>
    </row>
    <row r="17" spans="2:7" ht="12.75" customHeight="1">
      <c r="B17" s="10"/>
      <c r="C17" s="11"/>
      <c r="D17" s="92"/>
      <c r="E17" s="12"/>
      <c r="F17" s="1081" t="s">
        <v>212</v>
      </c>
      <c r="G17" s="1082"/>
    </row>
    <row r="18" spans="4:7" ht="13.5" thickBot="1">
      <c r="D18" s="58"/>
      <c r="F18" s="90" t="s">
        <v>432</v>
      </c>
      <c r="G18" s="91" t="s">
        <v>211</v>
      </c>
    </row>
    <row r="19" spans="2:7" ht="13.5" thickBot="1">
      <c r="B19" s="67" t="s">
        <v>5</v>
      </c>
      <c r="C19" s="74">
        <v>1</v>
      </c>
      <c r="D19" s="76">
        <v>2</v>
      </c>
      <c r="E19" s="89">
        <v>3</v>
      </c>
      <c r="F19" s="87">
        <v>4</v>
      </c>
      <c r="G19" s="88">
        <v>5</v>
      </c>
    </row>
    <row r="20" spans="2:7" ht="13.5" thickTop="1">
      <c r="B20" s="69" t="s">
        <v>330</v>
      </c>
      <c r="C20" s="520">
        <f>'T14-penFondy'!E32</f>
        <v>596891610.03</v>
      </c>
      <c r="D20" s="536">
        <v>107839.24</v>
      </c>
      <c r="E20" s="373">
        <f>SUM(C20:D20)</f>
        <v>596999449.27</v>
      </c>
      <c r="F20" s="367">
        <f>'T14-penFondy'!E34</f>
        <v>590509080.4</v>
      </c>
      <c r="G20" s="355">
        <f>E20-F20</f>
        <v>6490368.870000005</v>
      </c>
    </row>
    <row r="21" spans="2:7" ht="12.75">
      <c r="B21" s="24" t="s">
        <v>201</v>
      </c>
      <c r="C21" s="521">
        <f>'T14-penFondy'!E37</f>
        <v>47293785.25</v>
      </c>
      <c r="D21" s="537">
        <v>517778.67</v>
      </c>
      <c r="E21" s="374">
        <f aca="true" t="shared" si="1" ref="E21:E28">SUM(C21:D21)</f>
        <v>47811563.92</v>
      </c>
      <c r="F21" s="369">
        <f>'T14-penFondy'!E39</f>
        <v>46798268.27</v>
      </c>
      <c r="G21" s="357">
        <f aca="true" t="shared" si="2" ref="G21:G28">E21-F21</f>
        <v>1013295.6499999985</v>
      </c>
    </row>
    <row r="22" spans="2:7" ht="12.75">
      <c r="B22" s="24" t="s">
        <v>331</v>
      </c>
      <c r="C22" s="521">
        <f>'T14-penFondy'!E42</f>
        <v>2912316.65</v>
      </c>
      <c r="D22" s="537">
        <v>59506.02</v>
      </c>
      <c r="E22" s="374">
        <f t="shared" si="1"/>
        <v>2971822.67</v>
      </c>
      <c r="F22" s="369">
        <f>'T14-penFondy'!E44</f>
        <v>0</v>
      </c>
      <c r="G22" s="357">
        <f t="shared" si="2"/>
        <v>2971822.67</v>
      </c>
    </row>
    <row r="23" spans="2:7" ht="12.75">
      <c r="B23" s="24" t="s">
        <v>332</v>
      </c>
      <c r="C23" s="521">
        <f>'T14-penFondy'!E45</f>
        <v>3277774.21</v>
      </c>
      <c r="D23" s="537">
        <v>150170</v>
      </c>
      <c r="E23" s="374">
        <f t="shared" si="1"/>
        <v>3427944.21</v>
      </c>
      <c r="F23" s="369">
        <f>'T14-penFondy'!E47</f>
        <v>238903.52</v>
      </c>
      <c r="G23" s="357">
        <f t="shared" si="2"/>
        <v>3189040.69</v>
      </c>
    </row>
    <row r="24" spans="2:7" ht="12.75">
      <c r="B24" s="26" t="s">
        <v>333</v>
      </c>
      <c r="C24" s="521">
        <f>'T14-penFondy'!E48</f>
        <v>174053.88</v>
      </c>
      <c r="D24" s="537">
        <v>10508.95</v>
      </c>
      <c r="E24" s="374">
        <f>SUM(C24:D24)</f>
        <v>184562.83000000002</v>
      </c>
      <c r="F24" s="369">
        <f>'T14-penFondy'!E50</f>
        <v>66423.28</v>
      </c>
      <c r="G24" s="357">
        <f t="shared" si="2"/>
        <v>118139.55000000002</v>
      </c>
    </row>
    <row r="25" spans="2:7" ht="12.75">
      <c r="B25" s="24" t="s">
        <v>334</v>
      </c>
      <c r="C25" s="521">
        <f>'T14-penFondy'!E51</f>
        <v>34801084.82</v>
      </c>
      <c r="D25" s="716">
        <v>434799.59</v>
      </c>
      <c r="E25" s="375">
        <f t="shared" si="1"/>
        <v>35235884.410000004</v>
      </c>
      <c r="F25" s="369">
        <f>'T14-penFondy'!E53</f>
        <v>10642399.42</v>
      </c>
      <c r="G25" s="360">
        <f t="shared" si="2"/>
        <v>24593484.990000002</v>
      </c>
    </row>
    <row r="26" spans="2:7" ht="12.75">
      <c r="B26" s="55" t="s">
        <v>202</v>
      </c>
      <c r="C26" s="521">
        <f>'T14-penFondy'!E56</f>
        <v>19209577.6</v>
      </c>
      <c r="D26" s="537">
        <v>5624495.22</v>
      </c>
      <c r="E26" s="374">
        <f t="shared" si="1"/>
        <v>24834072.82</v>
      </c>
      <c r="F26" s="369">
        <f>'T14-penFondy'!E58</f>
        <v>0</v>
      </c>
      <c r="G26" s="357">
        <f t="shared" si="2"/>
        <v>24834072.82</v>
      </c>
    </row>
    <row r="27" spans="2:7" ht="12.75">
      <c r="B27" s="24" t="s">
        <v>3</v>
      </c>
      <c r="C27" s="521">
        <f>'T14-penFondy'!E59</f>
        <v>2542140.39</v>
      </c>
      <c r="D27" s="537">
        <v>50763.64</v>
      </c>
      <c r="E27" s="374">
        <f t="shared" si="1"/>
        <v>2592904.0300000003</v>
      </c>
      <c r="F27" s="369">
        <f>'T14-penFondy'!E61</f>
        <v>0</v>
      </c>
      <c r="G27" s="357">
        <f t="shared" si="2"/>
        <v>2592904.0300000003</v>
      </c>
    </row>
    <row r="28" spans="2:7" ht="13.5" thickBot="1">
      <c r="B28" s="24" t="s">
        <v>443</v>
      </c>
      <c r="C28" s="521">
        <f>'T14-penFondy'!E62</f>
        <v>444639.87</v>
      </c>
      <c r="D28" s="538">
        <v>59070.96</v>
      </c>
      <c r="E28" s="374">
        <f t="shared" si="1"/>
        <v>503710.83</v>
      </c>
      <c r="F28" s="369">
        <f>'T14-penFondy'!E64</f>
        <v>0</v>
      </c>
      <c r="G28" s="357">
        <f t="shared" si="2"/>
        <v>503710.83</v>
      </c>
    </row>
    <row r="29" spans="2:7" ht="13.5" customHeight="1" thickBot="1">
      <c r="B29" s="9" t="s">
        <v>6</v>
      </c>
      <c r="C29" s="471">
        <f>SUM(C20:C28)</f>
        <v>707546982.7</v>
      </c>
      <c r="D29" s="459">
        <f>SUM(D20:D28)</f>
        <v>7014932.289999999</v>
      </c>
      <c r="E29" s="372">
        <f>SUM(E20:E28)</f>
        <v>714561914.99</v>
      </c>
      <c r="F29" s="371">
        <f>SUM(F20:F28)</f>
        <v>648255074.8899999</v>
      </c>
      <c r="G29" s="372">
        <f>SUM(G20:G28)</f>
        <v>66306840.1</v>
      </c>
    </row>
    <row r="30" ht="13.5" thickBot="1"/>
    <row r="31" spans="2:5" ht="13.5" thickBot="1">
      <c r="B31" s="67" t="s">
        <v>7</v>
      </c>
      <c r="C31" s="74">
        <v>1</v>
      </c>
      <c r="D31" s="75">
        <v>2</v>
      </c>
      <c r="E31" s="68">
        <v>3</v>
      </c>
    </row>
    <row r="32" spans="2:5" ht="13.5" thickTop="1">
      <c r="B32" s="69" t="s">
        <v>330</v>
      </c>
      <c r="C32" s="520">
        <f>'T14-penFondy'!E73</f>
        <v>16677129.37</v>
      </c>
      <c r="D32" s="536">
        <v>190000</v>
      </c>
      <c r="E32" s="378">
        <f aca="true" t="shared" si="3" ref="E32:E40">SUM(C32:D32)</f>
        <v>16867129.369999997</v>
      </c>
    </row>
    <row r="33" spans="2:5" ht="12.75">
      <c r="B33" s="24" t="s">
        <v>201</v>
      </c>
      <c r="C33" s="521">
        <f>'T14-penFondy'!E74</f>
        <v>4431823.39</v>
      </c>
      <c r="D33" s="537"/>
      <c r="E33" s="370">
        <f t="shared" si="3"/>
        <v>4431823.39</v>
      </c>
    </row>
    <row r="34" spans="2:5" ht="12.75">
      <c r="B34" s="24" t="s">
        <v>331</v>
      </c>
      <c r="C34" s="521">
        <f>'T14-penFondy'!E75</f>
        <v>6186668.89</v>
      </c>
      <c r="D34" s="537"/>
      <c r="E34" s="370">
        <f t="shared" si="3"/>
        <v>6186668.89</v>
      </c>
    </row>
    <row r="35" spans="2:5" ht="12.75">
      <c r="B35" s="24" t="s">
        <v>332</v>
      </c>
      <c r="C35" s="521">
        <f>'T14-penFondy'!E76</f>
        <v>108276352.76</v>
      </c>
      <c r="D35" s="537"/>
      <c r="E35" s="370">
        <f>SUM(C35:D35)</f>
        <v>108276352.76</v>
      </c>
    </row>
    <row r="36" spans="2:5" ht="12.75">
      <c r="B36" s="26" t="s">
        <v>333</v>
      </c>
      <c r="C36" s="521">
        <f>'T14-penFondy'!E77</f>
        <v>454604.1</v>
      </c>
      <c r="D36" s="537"/>
      <c r="E36" s="370">
        <f t="shared" si="3"/>
        <v>454604.1</v>
      </c>
    </row>
    <row r="37" spans="2:5" ht="12.75">
      <c r="B37" s="24" t="s">
        <v>334</v>
      </c>
      <c r="C37" s="521">
        <f>'T14-penFondy'!E78</f>
        <v>46219426.74</v>
      </c>
      <c r="D37" s="537"/>
      <c r="E37" s="379">
        <f t="shared" si="3"/>
        <v>46219426.74</v>
      </c>
    </row>
    <row r="38" spans="2:5" ht="12.75">
      <c r="B38" s="55" t="s">
        <v>202</v>
      </c>
      <c r="C38" s="521">
        <f>'T14-penFondy'!E79</f>
        <v>22616328</v>
      </c>
      <c r="D38" s="537"/>
      <c r="E38" s="370">
        <f>SUM(C38:D38)</f>
        <v>22616328</v>
      </c>
    </row>
    <row r="39" spans="2:5" ht="12.75">
      <c r="B39" s="24" t="s">
        <v>3</v>
      </c>
      <c r="C39" s="521">
        <f>'T14-penFondy'!E80</f>
        <v>623301</v>
      </c>
      <c r="D39" s="537">
        <v>30000</v>
      </c>
      <c r="E39" s="370">
        <f t="shared" si="3"/>
        <v>653301</v>
      </c>
    </row>
    <row r="40" spans="2:5" ht="13.5" thickBot="1">
      <c r="B40" s="24" t="s">
        <v>443</v>
      </c>
      <c r="C40" s="522">
        <f>'T14-penFondy'!E81</f>
        <v>379889</v>
      </c>
      <c r="D40" s="538"/>
      <c r="E40" s="370">
        <f t="shared" si="3"/>
        <v>379889</v>
      </c>
    </row>
    <row r="41" spans="2:7" ht="13.5" customHeight="1" thickBot="1">
      <c r="B41" s="9" t="s">
        <v>8</v>
      </c>
      <c r="C41" s="471">
        <f>SUM(C32:C40)</f>
        <v>205865523.25</v>
      </c>
      <c r="D41" s="459">
        <f>SUM(D32:D40)</f>
        <v>220000</v>
      </c>
      <c r="E41" s="372">
        <f>SUM(E32:E40)</f>
        <v>206085523.25</v>
      </c>
      <c r="G41" s="7"/>
    </row>
    <row r="42" spans="2:7" ht="13.5" thickBot="1">
      <c r="B42" s="10"/>
      <c r="C42" s="11"/>
      <c r="D42" s="12"/>
      <c r="E42" s="12"/>
      <c r="G42" s="7"/>
    </row>
    <row r="43" spans="2:5" ht="13.5" thickBot="1">
      <c r="B43" s="67" t="s">
        <v>9</v>
      </c>
      <c r="C43" s="74">
        <v>1</v>
      </c>
      <c r="D43" s="75">
        <v>2</v>
      </c>
      <c r="E43" s="68">
        <v>3</v>
      </c>
    </row>
    <row r="44" spans="2:7" ht="13.5" thickTop="1">
      <c r="B44" s="69" t="s">
        <v>330</v>
      </c>
      <c r="C44" s="381">
        <f aca="true" t="shared" si="4" ref="C44:C52">SUM(C7,C20,C32)</f>
        <v>613971810.54</v>
      </c>
      <c r="D44" s="382">
        <f aca="true" t="shared" si="5" ref="D44:E46">D7+D20+D32</f>
        <v>797839.24</v>
      </c>
      <c r="E44" s="378">
        <f>E7+E20+E32</f>
        <v>614769649.78</v>
      </c>
      <c r="G44" s="19"/>
    </row>
    <row r="45" spans="2:7" ht="12.75">
      <c r="B45" s="24" t="s">
        <v>201</v>
      </c>
      <c r="C45" s="383">
        <f t="shared" si="4"/>
        <v>52331030.49</v>
      </c>
      <c r="D45" s="384">
        <f t="shared" si="5"/>
        <v>717778.6699999999</v>
      </c>
      <c r="E45" s="378">
        <f t="shared" si="5"/>
        <v>53048809.160000004</v>
      </c>
      <c r="G45" s="19"/>
    </row>
    <row r="46" spans="2:7" ht="12.75">
      <c r="B46" s="24" t="s">
        <v>331</v>
      </c>
      <c r="C46" s="383">
        <f t="shared" si="4"/>
        <v>9098985.54</v>
      </c>
      <c r="D46" s="384">
        <f t="shared" si="5"/>
        <v>297531.02</v>
      </c>
      <c r="E46" s="378">
        <f t="shared" si="5"/>
        <v>9396516.559999999</v>
      </c>
      <c r="G46" s="19"/>
    </row>
    <row r="47" spans="2:7" ht="12.75">
      <c r="B47" s="24" t="s">
        <v>332</v>
      </c>
      <c r="C47" s="383">
        <f t="shared" si="4"/>
        <v>112988046.77000001</v>
      </c>
      <c r="D47" s="384">
        <f aca="true" t="shared" si="6" ref="D47:E52">D10+D23+D35</f>
        <v>150170</v>
      </c>
      <c r="E47" s="378">
        <f t="shared" si="6"/>
        <v>113138216.77000001</v>
      </c>
      <c r="G47" s="19"/>
    </row>
    <row r="48" spans="2:7" ht="12.75">
      <c r="B48" s="26" t="s">
        <v>333</v>
      </c>
      <c r="C48" s="383">
        <f t="shared" si="4"/>
        <v>628657.98</v>
      </c>
      <c r="D48" s="384">
        <f t="shared" si="6"/>
        <v>10508.95</v>
      </c>
      <c r="E48" s="378">
        <f t="shared" si="6"/>
        <v>639166.9299999999</v>
      </c>
      <c r="G48" s="19"/>
    </row>
    <row r="49" spans="2:7" ht="12.75">
      <c r="B49" s="24" t="s">
        <v>334</v>
      </c>
      <c r="C49" s="383">
        <f t="shared" si="4"/>
        <v>81709265.56</v>
      </c>
      <c r="D49" s="384">
        <f t="shared" si="6"/>
        <v>2113472.59</v>
      </c>
      <c r="E49" s="378">
        <f t="shared" si="6"/>
        <v>83822738.15</v>
      </c>
      <c r="G49" s="19"/>
    </row>
    <row r="50" spans="2:7" ht="12.75">
      <c r="B50" s="55" t="s">
        <v>202</v>
      </c>
      <c r="C50" s="383">
        <f t="shared" si="4"/>
        <v>42841798.6</v>
      </c>
      <c r="D50" s="384">
        <f t="shared" si="6"/>
        <v>5874495.22</v>
      </c>
      <c r="E50" s="378">
        <f t="shared" si="6"/>
        <v>48716293.82</v>
      </c>
      <c r="G50" s="19"/>
    </row>
    <row r="51" spans="2:7" ht="12.75">
      <c r="B51" s="24" t="s">
        <v>3</v>
      </c>
      <c r="C51" s="383">
        <f t="shared" si="4"/>
        <v>3259217.37</v>
      </c>
      <c r="D51" s="384">
        <f t="shared" si="6"/>
        <v>120763.64</v>
      </c>
      <c r="E51" s="378">
        <f t="shared" si="6"/>
        <v>3379981.0100000002</v>
      </c>
      <c r="G51" s="19"/>
    </row>
    <row r="52" spans="2:7" ht="13.5" thickBot="1">
      <c r="B52" s="24" t="s">
        <v>443</v>
      </c>
      <c r="C52" s="383">
        <f t="shared" si="4"/>
        <v>888660.87</v>
      </c>
      <c r="D52" s="384">
        <f t="shared" si="6"/>
        <v>109070.95999999999</v>
      </c>
      <c r="E52" s="378">
        <f t="shared" si="6"/>
        <v>997731.8300000001</v>
      </c>
      <c r="G52" s="19"/>
    </row>
    <row r="53" spans="2:7" ht="13.5" customHeight="1" thickBot="1">
      <c r="B53" s="9" t="s">
        <v>10</v>
      </c>
      <c r="C53" s="471">
        <f>SUM(C44:C52)</f>
        <v>917717473.7199999</v>
      </c>
      <c r="D53" s="459">
        <f>SUM(D44:D52)</f>
        <v>10191630.290000001</v>
      </c>
      <c r="E53" s="372">
        <f>SUM(E44:E52)</f>
        <v>927909104.0099999</v>
      </c>
      <c r="G53" s="7"/>
    </row>
  </sheetData>
  <sheetProtection/>
  <mergeCells count="1">
    <mergeCell ref="F17:G17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view="pageBreakPreview" zoomScale="60" zoomScaleNormal="75" zoomScalePageLayoutView="0" workbookViewId="0" topLeftCell="A15">
      <selection activeCell="S47" sqref="S47"/>
    </sheetView>
  </sheetViews>
  <sheetFormatPr defaultColWidth="9.140625" defaultRowHeight="12.75"/>
  <cols>
    <col min="1" max="1" width="20.140625" style="0" customWidth="1"/>
    <col min="2" max="2" width="16.421875" style="0" customWidth="1"/>
    <col min="3" max="3" width="17.00390625" style="0" customWidth="1"/>
    <col min="4" max="4" width="16.7109375" style="0" customWidth="1"/>
    <col min="5" max="5" width="15.421875" style="0" customWidth="1"/>
    <col min="6" max="6" width="14.140625" style="0" customWidth="1"/>
    <col min="7" max="7" width="15.7109375" style="0" bestFit="1" customWidth="1"/>
    <col min="8" max="8" width="17.57421875" style="0" customWidth="1"/>
    <col min="9" max="9" width="19.00390625" style="0" customWidth="1"/>
  </cols>
  <sheetData>
    <row r="1" ht="15.75">
      <c r="I1" s="53" t="s">
        <v>451</v>
      </c>
    </row>
    <row r="3" spans="1:9" ht="24.75" customHeight="1">
      <c r="A3" s="951" t="s">
        <v>581</v>
      </c>
      <c r="B3" s="952"/>
      <c r="C3" s="952"/>
      <c r="D3" s="952"/>
      <c r="E3" s="952"/>
      <c r="F3" s="952"/>
      <c r="G3" s="952"/>
      <c r="H3" s="952"/>
      <c r="I3" s="952"/>
    </row>
    <row r="4" spans="2:9" ht="12.75">
      <c r="B4" s="79"/>
      <c r="C4" s="79"/>
      <c r="D4" s="79"/>
      <c r="E4" s="79"/>
      <c r="F4" s="79"/>
      <c r="G4" s="79"/>
      <c r="H4" s="79"/>
      <c r="I4" s="79" t="s">
        <v>317</v>
      </c>
    </row>
    <row r="5" spans="1:9" ht="15">
      <c r="A5" s="78" t="s">
        <v>18</v>
      </c>
      <c r="B5" s="80" t="s">
        <v>182</v>
      </c>
      <c r="C5" s="80" t="s">
        <v>183</v>
      </c>
      <c r="D5" s="81" t="s">
        <v>105</v>
      </c>
      <c r="E5" s="80" t="s">
        <v>352</v>
      </c>
      <c r="F5" s="80" t="s">
        <v>15</v>
      </c>
      <c r="G5" s="81" t="s">
        <v>184</v>
      </c>
      <c r="H5" s="80" t="s">
        <v>185</v>
      </c>
      <c r="I5" s="80" t="s">
        <v>81</v>
      </c>
    </row>
    <row r="6" spans="1:9" ht="15" customHeight="1">
      <c r="A6" s="64" t="s">
        <v>186</v>
      </c>
      <c r="B6" s="332">
        <f>'T1-UR16'!D19-'T1-UR16'!D6</f>
        <v>44391719</v>
      </c>
      <c r="C6" s="332">
        <f>'T1-UR16'!E19-'T1-UR16'!E6</f>
        <v>3373000</v>
      </c>
      <c r="D6" s="332">
        <f>SUM(B6:C6)</f>
        <v>47764719</v>
      </c>
      <c r="E6" s="332">
        <f>'T1-UR16'!G19-'T1-UR16'!G6</f>
        <v>16158805</v>
      </c>
      <c r="F6" s="332">
        <f>'T1-UR16'!H19-'T1-UR16'!H6</f>
        <v>659576</v>
      </c>
      <c r="G6" s="102">
        <f>SUM(E6:F6)</f>
        <v>16818381</v>
      </c>
      <c r="H6" s="102">
        <f>'T1-UR16'!I19-'T1-UR16'!I6</f>
        <v>73905311</v>
      </c>
      <c r="I6" s="102">
        <f>D6+G6+H6</f>
        <v>138488411</v>
      </c>
    </row>
    <row r="7" spans="1:9" ht="15" customHeight="1">
      <c r="A7" s="64" t="s">
        <v>433</v>
      </c>
      <c r="B7" s="714">
        <f>'T2-EU '!E7</f>
        <v>1260000</v>
      </c>
      <c r="C7" s="714">
        <f>'T2-EU '!F7</f>
        <v>430000</v>
      </c>
      <c r="D7" s="714">
        <f>SUM(B7:C7)</f>
        <v>1690000</v>
      </c>
      <c r="E7" s="714">
        <f>'T2-EU '!G7</f>
        <v>559218</v>
      </c>
      <c r="F7" s="714">
        <f>'T2-EU '!H7</f>
        <v>18900</v>
      </c>
      <c r="G7" s="714">
        <f>SUM(E7:F7)</f>
        <v>578118</v>
      </c>
      <c r="H7" s="714">
        <f>'T2-EU '!I7</f>
        <v>12471936</v>
      </c>
      <c r="I7" s="714">
        <f>D7+G7+H7</f>
        <v>14740054</v>
      </c>
    </row>
    <row r="8" spans="1:9" ht="15" customHeight="1">
      <c r="A8" s="64" t="s">
        <v>434</v>
      </c>
      <c r="B8" s="714">
        <f>'T2-EU '!E10</f>
        <v>0</v>
      </c>
      <c r="C8" s="102">
        <f>'T2-EU '!F10</f>
        <v>0</v>
      </c>
      <c r="D8" s="102">
        <f>SUM(B8:C8)</f>
        <v>0</v>
      </c>
      <c r="E8" s="102">
        <f>'T2-EU '!G10</f>
        <v>0</v>
      </c>
      <c r="F8" s="102">
        <f>'T2-EU '!H10</f>
        <v>0</v>
      </c>
      <c r="G8" s="102">
        <f>SUM(E8:F8)</f>
        <v>0</v>
      </c>
      <c r="H8" s="102">
        <f>'T2-EU '!I10</f>
        <v>12183466</v>
      </c>
      <c r="I8" s="102">
        <f>D8+G8+H8</f>
        <v>12183466</v>
      </c>
    </row>
    <row r="9" spans="1:9" ht="15">
      <c r="A9" s="63" t="s">
        <v>187</v>
      </c>
      <c r="B9" s="333">
        <f>SUM(B6:B8)</f>
        <v>45651719</v>
      </c>
      <c r="C9" s="333">
        <f aca="true" t="shared" si="0" ref="C9:I9">SUM(C6:C8)</f>
        <v>3803000</v>
      </c>
      <c r="D9" s="333">
        <f t="shared" si="0"/>
        <v>49454719</v>
      </c>
      <c r="E9" s="333">
        <f t="shared" si="0"/>
        <v>16718023</v>
      </c>
      <c r="F9" s="333">
        <f t="shared" si="0"/>
        <v>678476</v>
      </c>
      <c r="G9" s="333">
        <f t="shared" si="0"/>
        <v>17396499</v>
      </c>
      <c r="H9" s="333">
        <f t="shared" si="0"/>
        <v>98560713</v>
      </c>
      <c r="I9" s="333">
        <f t="shared" si="0"/>
        <v>165411931</v>
      </c>
    </row>
    <row r="10" spans="1:9" ht="15" customHeight="1">
      <c r="A10" s="558" t="s">
        <v>348</v>
      </c>
      <c r="B10" s="528">
        <f>SUM(B11:B12)</f>
        <v>45231309</v>
      </c>
      <c r="C10" s="528">
        <f aca="true" t="shared" si="1" ref="C10:I10">SUM(C11:C12)</f>
        <v>3623000</v>
      </c>
      <c r="D10" s="559">
        <f t="shared" si="1"/>
        <v>48854309</v>
      </c>
      <c r="E10" s="528">
        <f>SUM(E11:E12)</f>
        <v>16567884</v>
      </c>
      <c r="F10" s="528">
        <f t="shared" si="1"/>
        <v>678470</v>
      </c>
      <c r="G10" s="559">
        <f t="shared" si="1"/>
        <v>17246354</v>
      </c>
      <c r="H10" s="528">
        <f t="shared" si="1"/>
        <v>91358500</v>
      </c>
      <c r="I10" s="559">
        <f t="shared" si="1"/>
        <v>157459163</v>
      </c>
    </row>
    <row r="11" spans="1:9" ht="15">
      <c r="A11" s="64" t="s">
        <v>188</v>
      </c>
      <c r="B11" s="102">
        <v>43971309</v>
      </c>
      <c r="C11" s="102">
        <v>3193000</v>
      </c>
      <c r="D11" s="334">
        <f>SUM(B11:C11)</f>
        <v>47164309</v>
      </c>
      <c r="E11" s="102">
        <v>16008666</v>
      </c>
      <c r="F11" s="102">
        <v>659570</v>
      </c>
      <c r="G11" s="334">
        <f>SUM(E11:F11)</f>
        <v>16668236</v>
      </c>
      <c r="H11" s="102">
        <v>70651711</v>
      </c>
      <c r="I11" s="334">
        <f>D11+G11+H11</f>
        <v>134484256</v>
      </c>
    </row>
    <row r="12" spans="1:9" ht="12.75" customHeight="1">
      <c r="A12" s="142" t="s">
        <v>600</v>
      </c>
      <c r="B12" s="335">
        <v>1260000</v>
      </c>
      <c r="C12" s="335">
        <v>430000</v>
      </c>
      <c r="D12" s="336">
        <f>SUM(B12:C12)</f>
        <v>1690000</v>
      </c>
      <c r="E12" s="335">
        <v>559218</v>
      </c>
      <c r="F12" s="335">
        <v>18900</v>
      </c>
      <c r="G12" s="337">
        <f>SUM(E12:F12)</f>
        <v>578118</v>
      </c>
      <c r="H12" s="335">
        <v>20706789</v>
      </c>
      <c r="I12" s="336">
        <f>D12+G12+H12</f>
        <v>22974907</v>
      </c>
    </row>
    <row r="13" spans="2:9" ht="15">
      <c r="B13" s="338"/>
      <c r="C13" s="113"/>
      <c r="D13" s="113"/>
      <c r="E13" s="113"/>
      <c r="F13" s="113"/>
      <c r="G13" s="113"/>
      <c r="H13" s="113"/>
      <c r="I13" s="339">
        <f>I10-I9</f>
        <v>-7952768</v>
      </c>
    </row>
    <row r="14" spans="2:9" ht="15">
      <c r="B14" s="338"/>
      <c r="C14" s="113"/>
      <c r="D14" s="113"/>
      <c r="E14" s="113"/>
      <c r="F14" s="113"/>
      <c r="G14" s="113"/>
      <c r="H14" s="113"/>
      <c r="I14" s="339"/>
    </row>
    <row r="15" spans="1:9" ht="15">
      <c r="A15" s="66" t="s">
        <v>194</v>
      </c>
      <c r="B15" s="340" t="s">
        <v>182</v>
      </c>
      <c r="C15" s="340" t="s">
        <v>183</v>
      </c>
      <c r="D15" s="341" t="s">
        <v>105</v>
      </c>
      <c r="E15" s="340" t="s">
        <v>352</v>
      </c>
      <c r="F15" s="340" t="s">
        <v>15</v>
      </c>
      <c r="G15" s="341" t="s">
        <v>184</v>
      </c>
      <c r="H15" s="340" t="s">
        <v>185</v>
      </c>
      <c r="I15" s="340" t="s">
        <v>81</v>
      </c>
    </row>
    <row r="16" spans="1:9" ht="15">
      <c r="A16" s="64" t="s">
        <v>186</v>
      </c>
      <c r="B16" s="332">
        <f>'T1-UR16'!D34-'T1-UR16'!D20</f>
        <v>46308203</v>
      </c>
      <c r="C16" s="332">
        <f>'T1-UR16'!E34-'T1-UR16'!E20</f>
        <v>46136275</v>
      </c>
      <c r="D16" s="102">
        <f>SUM(B16:C16)</f>
        <v>92444478</v>
      </c>
      <c r="E16" s="332">
        <f>'T1-UR16'!G34-'T1-UR16'!G20</f>
        <v>23952553.000000004</v>
      </c>
      <c r="F16" s="332">
        <f>'T1-UR16'!H34-'T1-UR16'!H20</f>
        <v>694624</v>
      </c>
      <c r="G16" s="102">
        <f>SUM(E16:F16)</f>
        <v>24647177.000000004</v>
      </c>
      <c r="H16" s="102">
        <f>'T1-UR16'!K34-'T1-UR16'!K20</f>
        <v>51717745</v>
      </c>
      <c r="I16" s="102">
        <f>D16+G16+H16</f>
        <v>168809400</v>
      </c>
    </row>
    <row r="17" spans="1:9" ht="15">
      <c r="A17" s="64" t="s">
        <v>433</v>
      </c>
      <c r="B17" s="332">
        <f>'T2-EU '!E14</f>
        <v>46247701</v>
      </c>
      <c r="C17" s="332">
        <f>'T2-EU '!F14</f>
        <v>14039363</v>
      </c>
      <c r="D17" s="102">
        <f>B17+C17</f>
        <v>60287064</v>
      </c>
      <c r="E17" s="332">
        <f>'T2-EU '!G14</f>
        <v>11937321</v>
      </c>
      <c r="F17" s="332">
        <f>'T2-EU '!H14</f>
        <v>509782</v>
      </c>
      <c r="G17" s="102">
        <f>SUM(E17:F17)</f>
        <v>12447103</v>
      </c>
      <c r="H17" s="332">
        <f>'T2-EU '!I14</f>
        <v>7752043</v>
      </c>
      <c r="I17" s="102">
        <f>D17+G17+H17</f>
        <v>80486210</v>
      </c>
    </row>
    <row r="18" spans="1:9" ht="15">
      <c r="A18" s="64" t="s">
        <v>434</v>
      </c>
      <c r="B18" s="102">
        <f>'T2-EU '!E17</f>
        <v>0</v>
      </c>
      <c r="C18" s="102">
        <f>'T2-EU '!F17</f>
        <v>0</v>
      </c>
      <c r="D18" s="102">
        <f>SUM(B18:C18)</f>
        <v>0</v>
      </c>
      <c r="E18" s="102">
        <f>'T2-EU '!G17</f>
        <v>6275808.31</v>
      </c>
      <c r="F18" s="102">
        <f>'T2-EU '!H17</f>
        <v>223589</v>
      </c>
      <c r="G18" s="102">
        <f>SUM(E18:F18)</f>
        <v>6499397.31</v>
      </c>
      <c r="H18" s="102">
        <f>'T2-EU '!I17</f>
        <v>3157857.6500000004</v>
      </c>
      <c r="I18" s="102">
        <f>D18+G18+H18</f>
        <v>9657254.96</v>
      </c>
    </row>
    <row r="19" spans="1:9" ht="15">
      <c r="A19" s="63" t="s">
        <v>187</v>
      </c>
      <c r="B19" s="333">
        <f>B16+B17+B18</f>
        <v>92555904</v>
      </c>
      <c r="C19" s="333">
        <f>C16+C17+C18</f>
        <v>60175638</v>
      </c>
      <c r="D19" s="333">
        <f>B19+C19</f>
        <v>152731542</v>
      </c>
      <c r="E19" s="333">
        <f>E16+E17+E18</f>
        <v>42165682.31</v>
      </c>
      <c r="F19" s="333">
        <f>F16+F17+F18</f>
        <v>1427995</v>
      </c>
      <c r="G19" s="333">
        <f>SUM(E19:F19)</f>
        <v>43593677.31</v>
      </c>
      <c r="H19" s="333">
        <f>H16+H17+H18</f>
        <v>62627645.65</v>
      </c>
      <c r="I19" s="333">
        <f>D19+G19+H19</f>
        <v>258952864.96</v>
      </c>
    </row>
    <row r="20" spans="1:9" ht="15">
      <c r="A20" s="558" t="s">
        <v>348</v>
      </c>
      <c r="B20" s="528">
        <f aca="true" t="shared" si="2" ref="B20:H20">SUM(B21:B22)</f>
        <v>91443050</v>
      </c>
      <c r="C20" s="528">
        <f t="shared" si="2"/>
        <v>59981633.28</v>
      </c>
      <c r="D20" s="559">
        <f t="shared" si="2"/>
        <v>151424683.28</v>
      </c>
      <c r="E20" s="528">
        <f t="shared" si="2"/>
        <v>41377067.31</v>
      </c>
      <c r="F20" s="528">
        <f t="shared" si="2"/>
        <v>1411300</v>
      </c>
      <c r="G20" s="559">
        <f t="shared" si="2"/>
        <v>42788367.31</v>
      </c>
      <c r="H20" s="528">
        <f t="shared" si="2"/>
        <v>60842157.58</v>
      </c>
      <c r="I20" s="560">
        <f>I21+I22</f>
        <v>255055208.17000002</v>
      </c>
    </row>
    <row r="21" spans="1:9" ht="15">
      <c r="A21" s="64" t="s">
        <v>188</v>
      </c>
      <c r="B21" s="102">
        <v>46195350</v>
      </c>
      <c r="C21" s="102">
        <v>45942275</v>
      </c>
      <c r="D21" s="334">
        <f>SUM(B21:C21)</f>
        <v>92137625</v>
      </c>
      <c r="E21" s="102">
        <v>23405921</v>
      </c>
      <c r="F21" s="102">
        <v>692931</v>
      </c>
      <c r="G21" s="334">
        <f>SUM(E21:F21)</f>
        <v>24098852</v>
      </c>
      <c r="H21" s="102">
        <v>51297745</v>
      </c>
      <c r="I21" s="334">
        <f>D21+G21+H21</f>
        <v>167534222</v>
      </c>
    </row>
    <row r="22" spans="1:9" ht="15">
      <c r="A22" s="142" t="s">
        <v>600</v>
      </c>
      <c r="B22" s="335">
        <v>45247700</v>
      </c>
      <c r="C22" s="335">
        <v>14039358.280000001</v>
      </c>
      <c r="D22" s="336">
        <f>SUM(B22:C22)</f>
        <v>59287058.28</v>
      </c>
      <c r="E22" s="335">
        <v>17971146.310000002</v>
      </c>
      <c r="F22" s="335">
        <v>718369</v>
      </c>
      <c r="G22" s="337">
        <f>SUM(E22:F22)</f>
        <v>18689515.310000002</v>
      </c>
      <c r="H22" s="335">
        <v>9544412.58</v>
      </c>
      <c r="I22" s="336">
        <f>D22+G22+H22</f>
        <v>87520986.17</v>
      </c>
    </row>
    <row r="23" spans="2:9" ht="15">
      <c r="B23" s="338"/>
      <c r="C23" s="113"/>
      <c r="D23" s="113"/>
      <c r="E23" s="113"/>
      <c r="F23" s="113"/>
      <c r="G23" s="113"/>
      <c r="H23" s="113"/>
      <c r="I23" s="339">
        <f>I20-I19</f>
        <v>-3897656.7899999917</v>
      </c>
    </row>
    <row r="24" spans="2:9" ht="12.75">
      <c r="B24" s="113"/>
      <c r="C24" s="113"/>
      <c r="D24" s="113"/>
      <c r="E24" s="113"/>
      <c r="F24" s="113"/>
      <c r="G24" s="113"/>
      <c r="H24" s="113"/>
      <c r="I24" s="113"/>
    </row>
    <row r="25" spans="1:9" ht="15">
      <c r="A25" s="78" t="s">
        <v>195</v>
      </c>
      <c r="B25" s="340" t="s">
        <v>182</v>
      </c>
      <c r="C25" s="340" t="s">
        <v>183</v>
      </c>
      <c r="D25" s="341" t="s">
        <v>105</v>
      </c>
      <c r="E25" s="340" t="s">
        <v>352</v>
      </c>
      <c r="F25" s="340" t="s">
        <v>15</v>
      </c>
      <c r="G25" s="340" t="s">
        <v>184</v>
      </c>
      <c r="H25" s="340" t="s">
        <v>185</v>
      </c>
      <c r="I25" s="340" t="s">
        <v>81</v>
      </c>
    </row>
    <row r="26" spans="1:9" ht="15">
      <c r="A26" s="64" t="s">
        <v>186</v>
      </c>
      <c r="B26" s="332">
        <f>'T1-UR16'!D40</f>
        <v>15628221</v>
      </c>
      <c r="C26" s="332">
        <f>'T1-UR16'!E40</f>
        <v>2278000</v>
      </c>
      <c r="D26" s="102">
        <f>B26+C26</f>
        <v>17906221</v>
      </c>
      <c r="E26" s="332">
        <f>'T1-UR16'!G40</f>
        <v>5817455</v>
      </c>
      <c r="F26" s="332">
        <f>'T1-UR16'!H40</f>
        <v>234424</v>
      </c>
      <c r="G26" s="102">
        <f>SUM(E26:F26)</f>
        <v>6051879</v>
      </c>
      <c r="H26" s="102">
        <f>'T1-UR16'!K40</f>
        <v>11714454</v>
      </c>
      <c r="I26" s="102">
        <f>D26+G26+H26</f>
        <v>35672554</v>
      </c>
    </row>
    <row r="27" spans="1:9" ht="15">
      <c r="A27" s="64" t="s">
        <v>433</v>
      </c>
      <c r="B27" s="332"/>
      <c r="C27" s="332"/>
      <c r="D27" s="102">
        <f>B27+C27</f>
        <v>0</v>
      </c>
      <c r="E27" s="102"/>
      <c r="F27" s="102"/>
      <c r="G27" s="102"/>
      <c r="H27" s="102"/>
      <c r="I27" s="102">
        <f>D27+G27+H27</f>
        <v>0</v>
      </c>
    </row>
    <row r="28" spans="1:9" ht="15">
      <c r="A28" s="64" t="s">
        <v>434</v>
      </c>
      <c r="B28" s="313"/>
      <c r="C28" s="102"/>
      <c r="D28" s="102">
        <f>B28+C28</f>
        <v>0</v>
      </c>
      <c r="E28" s="102"/>
      <c r="F28" s="102"/>
      <c r="G28" s="102"/>
      <c r="H28" s="102"/>
      <c r="I28" s="102">
        <f>D28+G28+H28</f>
        <v>0</v>
      </c>
    </row>
    <row r="29" spans="1:9" ht="15">
      <c r="A29" s="63" t="s">
        <v>187</v>
      </c>
      <c r="B29" s="333">
        <f>B26+B27+B28</f>
        <v>15628221</v>
      </c>
      <c r="C29" s="333">
        <f>C26+C27+C28</f>
        <v>2278000</v>
      </c>
      <c r="D29" s="333">
        <f>B29+C29</f>
        <v>17906221</v>
      </c>
      <c r="E29" s="333">
        <f>E26+E27+E28</f>
        <v>5817455</v>
      </c>
      <c r="F29" s="333">
        <f>F26+F27+F28</f>
        <v>234424</v>
      </c>
      <c r="G29" s="333">
        <f>G26+G27+G28</f>
        <v>6051879</v>
      </c>
      <c r="H29" s="333">
        <f>H26+H27+H28</f>
        <v>11714454</v>
      </c>
      <c r="I29" s="333">
        <f>D29+G29+H29</f>
        <v>35672554</v>
      </c>
    </row>
    <row r="30" spans="1:17" ht="15">
      <c r="A30" s="558" t="s">
        <v>348</v>
      </c>
      <c r="B30" s="528">
        <f aca="true" t="shared" si="3" ref="B30:H30">SUM(B31:B32)</f>
        <v>15628221</v>
      </c>
      <c r="C30" s="528">
        <f t="shared" si="3"/>
        <v>2278000</v>
      </c>
      <c r="D30" s="559">
        <f t="shared" si="3"/>
        <v>17906221</v>
      </c>
      <c r="E30" s="528">
        <f t="shared" si="3"/>
        <v>5817455</v>
      </c>
      <c r="F30" s="528">
        <f t="shared" si="3"/>
        <v>234424</v>
      </c>
      <c r="G30" s="559">
        <f t="shared" si="3"/>
        <v>6051879</v>
      </c>
      <c r="H30" s="528">
        <f t="shared" si="3"/>
        <v>10728098</v>
      </c>
      <c r="I30" s="560">
        <f>I31+I32</f>
        <v>34686198</v>
      </c>
      <c r="J30" s="155"/>
      <c r="K30" s="155"/>
      <c r="L30" s="155"/>
      <c r="M30" s="156"/>
      <c r="N30" s="155"/>
      <c r="O30" s="155"/>
      <c r="P30" s="155"/>
      <c r="Q30" s="157"/>
    </row>
    <row r="31" spans="1:9" ht="15">
      <c r="A31" s="64" t="s">
        <v>188</v>
      </c>
      <c r="B31" s="102">
        <v>15628221</v>
      </c>
      <c r="C31" s="102">
        <v>2278000</v>
      </c>
      <c r="D31" s="334">
        <f>SUM(B31:C31)</f>
        <v>17906221</v>
      </c>
      <c r="E31" s="102">
        <v>5817455</v>
      </c>
      <c r="F31" s="102">
        <v>234424</v>
      </c>
      <c r="G31" s="334">
        <f>SUM(E31:F31)</f>
        <v>6051879</v>
      </c>
      <c r="H31" s="102">
        <v>10728098</v>
      </c>
      <c r="I31" s="334">
        <f>D31+G31+H31</f>
        <v>34686198</v>
      </c>
    </row>
    <row r="32" spans="1:9" ht="15">
      <c r="A32" s="142" t="s">
        <v>600</v>
      </c>
      <c r="B32" s="335"/>
      <c r="C32" s="335"/>
      <c r="D32" s="336">
        <f>SUM(B32:C32)</f>
        <v>0</v>
      </c>
      <c r="E32" s="335"/>
      <c r="F32" s="335"/>
      <c r="G32" s="337">
        <f>SUM(E32:F32)</f>
        <v>0</v>
      </c>
      <c r="H32" s="335"/>
      <c r="I32" s="336"/>
    </row>
    <row r="33" spans="2:9" ht="15">
      <c r="B33" s="338"/>
      <c r="C33" s="113"/>
      <c r="D33" s="113"/>
      <c r="E33" s="113"/>
      <c r="F33" s="113"/>
      <c r="G33" s="113"/>
      <c r="H33" s="113"/>
      <c r="I33" s="339">
        <f>I30-I29</f>
        <v>-986356</v>
      </c>
    </row>
    <row r="34" spans="2:9" ht="12.75">
      <c r="B34" s="113"/>
      <c r="C34" s="113"/>
      <c r="D34" s="113"/>
      <c r="E34" s="113"/>
      <c r="F34" s="113"/>
      <c r="G34" s="113"/>
      <c r="H34" s="113"/>
      <c r="I34" s="113"/>
    </row>
    <row r="35" spans="2:9" ht="12.75">
      <c r="B35" s="113"/>
      <c r="C35" s="113"/>
      <c r="D35" s="113"/>
      <c r="E35" s="113"/>
      <c r="F35" s="113"/>
      <c r="G35" s="113"/>
      <c r="H35" s="113"/>
      <c r="I35" s="113"/>
    </row>
    <row r="36" spans="1:9" ht="15">
      <c r="A36" s="78" t="s">
        <v>119</v>
      </c>
      <c r="B36" s="340" t="s">
        <v>182</v>
      </c>
      <c r="C36" s="340" t="s">
        <v>183</v>
      </c>
      <c r="D36" s="341" t="s">
        <v>105</v>
      </c>
      <c r="E36" s="340" t="s">
        <v>352</v>
      </c>
      <c r="F36" s="340" t="s">
        <v>15</v>
      </c>
      <c r="G36" s="340" t="s">
        <v>184</v>
      </c>
      <c r="H36" s="340" t="s">
        <v>185</v>
      </c>
      <c r="I36" s="340" t="s">
        <v>81</v>
      </c>
    </row>
    <row r="37" spans="1:9" ht="15">
      <c r="A37" s="64" t="s">
        <v>186</v>
      </c>
      <c r="B37" s="332">
        <f>'T1-UR16'!D50-'T1-UR16'!D41</f>
        <v>40117022</v>
      </c>
      <c r="C37" s="332">
        <f>'T1-UR16'!E50-'T1-UR16'!E41</f>
        <v>1256899</v>
      </c>
      <c r="D37" s="332">
        <f>B37+C37</f>
        <v>41373921</v>
      </c>
      <c r="E37" s="332">
        <f>'T1-UR16'!G50-'T1-UR16'!G41</f>
        <v>13811844</v>
      </c>
      <c r="F37" s="332">
        <f>'T1-UR16'!H50-'T1-UR16'!H41</f>
        <v>600796</v>
      </c>
      <c r="G37" s="332">
        <f>E37+F37</f>
        <v>14412640</v>
      </c>
      <c r="H37" s="332">
        <f>'T1-UR16'!K50-'T1-UR16'!K41</f>
        <v>296956607</v>
      </c>
      <c r="I37" s="332">
        <f>D37+G37+H37</f>
        <v>352743168</v>
      </c>
    </row>
    <row r="38" spans="1:9" ht="15">
      <c r="A38" s="64" t="s">
        <v>433</v>
      </c>
      <c r="B38" s="102">
        <f>'T2-EU '!E21</f>
        <v>0</v>
      </c>
      <c r="C38" s="102">
        <f>'T2-EU '!F21</f>
        <v>0</v>
      </c>
      <c r="D38" s="102"/>
      <c r="E38" s="102">
        <f>'T2-EU '!G21</f>
        <v>0</v>
      </c>
      <c r="F38" s="102">
        <f>'T2-EU '!H21</f>
        <v>0</v>
      </c>
      <c r="G38" s="102">
        <f>SUM(E38:F38)</f>
        <v>0</v>
      </c>
      <c r="H38" s="102">
        <f>'T2-EU '!I21</f>
        <v>30000</v>
      </c>
      <c r="I38" s="102">
        <f>D38+G38+H38</f>
        <v>30000</v>
      </c>
    </row>
    <row r="39" spans="1:9" ht="15">
      <c r="A39" s="64" t="s">
        <v>434</v>
      </c>
      <c r="B39" s="102"/>
      <c r="C39" s="102"/>
      <c r="D39" s="102">
        <f>B39+C39</f>
        <v>0</v>
      </c>
      <c r="E39" s="102"/>
      <c r="F39" s="102"/>
      <c r="G39" s="102">
        <f>SUM(E39:F39)</f>
        <v>0</v>
      </c>
      <c r="H39" s="102"/>
      <c r="I39" s="102">
        <f>D39+G39+H39</f>
        <v>0</v>
      </c>
    </row>
    <row r="40" spans="1:9" ht="15">
      <c r="A40" s="63" t="s">
        <v>187</v>
      </c>
      <c r="B40" s="333">
        <f>B37+B38+B39</f>
        <v>40117022</v>
      </c>
      <c r="C40" s="333">
        <f>C37+C38+C39</f>
        <v>1256899</v>
      </c>
      <c r="D40" s="333">
        <f>B40+C40</f>
        <v>41373921</v>
      </c>
      <c r="E40" s="333">
        <f>E37+E38+E39</f>
        <v>13811844</v>
      </c>
      <c r="F40" s="333">
        <f>F37+F38+F39</f>
        <v>600796</v>
      </c>
      <c r="G40" s="333">
        <f>SUM(E40:F40)</f>
        <v>14412640</v>
      </c>
      <c r="H40" s="333">
        <f>H37+H38+H39</f>
        <v>296986607</v>
      </c>
      <c r="I40" s="333">
        <f>D40+G40+H40</f>
        <v>352773168</v>
      </c>
    </row>
    <row r="41" spans="1:9" ht="15">
      <c r="A41" s="558" t="s">
        <v>348</v>
      </c>
      <c r="B41" s="528">
        <f aca="true" t="shared" si="4" ref="B41:H41">SUM(B42:B43)</f>
        <v>40021022</v>
      </c>
      <c r="C41" s="528">
        <f t="shared" si="4"/>
        <v>1256899</v>
      </c>
      <c r="D41" s="559">
        <f t="shared" si="4"/>
        <v>41277921</v>
      </c>
      <c r="E41" s="528">
        <f t="shared" si="4"/>
        <v>13777844</v>
      </c>
      <c r="F41" s="528">
        <f t="shared" si="4"/>
        <v>600316</v>
      </c>
      <c r="G41" s="559">
        <f t="shared" si="4"/>
        <v>14378160</v>
      </c>
      <c r="H41" s="528">
        <f t="shared" si="4"/>
        <v>223333943</v>
      </c>
      <c r="I41" s="560">
        <f>I42+I43</f>
        <v>278990024</v>
      </c>
    </row>
    <row r="42" spans="1:9" ht="15">
      <c r="A42" s="64" t="s">
        <v>188</v>
      </c>
      <c r="B42" s="102">
        <v>40021022</v>
      </c>
      <c r="C42" s="102">
        <v>1256899</v>
      </c>
      <c r="D42" s="334">
        <f>SUM(B42:C42)</f>
        <v>41277921</v>
      </c>
      <c r="E42" s="102">
        <v>13777844</v>
      </c>
      <c r="F42" s="102">
        <v>600316</v>
      </c>
      <c r="G42" s="334">
        <f>SUM(E42:F42)</f>
        <v>14378160</v>
      </c>
      <c r="H42" s="102">
        <v>223304489</v>
      </c>
      <c r="I42" s="334">
        <f>D42+G42+H42</f>
        <v>278960570</v>
      </c>
    </row>
    <row r="43" spans="1:9" ht="15">
      <c r="A43" s="142" t="s">
        <v>600</v>
      </c>
      <c r="B43" s="335"/>
      <c r="C43" s="335"/>
      <c r="D43" s="336">
        <f>SUM(B43:C43)</f>
        <v>0</v>
      </c>
      <c r="E43" s="335"/>
      <c r="F43" s="335"/>
      <c r="G43" s="337">
        <f>SUM(E43:F43)</f>
        <v>0</v>
      </c>
      <c r="H43" s="335">
        <v>29454</v>
      </c>
      <c r="I43" s="336">
        <f>B43+C43+F43+E43+H43</f>
        <v>29454</v>
      </c>
    </row>
    <row r="44" spans="2:9" ht="15">
      <c r="B44" s="338"/>
      <c r="C44" s="113"/>
      <c r="D44" s="113"/>
      <c r="E44" s="113"/>
      <c r="F44" s="113"/>
      <c r="G44" s="113"/>
      <c r="H44" s="113"/>
      <c r="I44" s="342">
        <f>I41-I40</f>
        <v>-73783144</v>
      </c>
    </row>
    <row r="45" spans="2:9" ht="12.75">
      <c r="B45" s="113"/>
      <c r="C45" s="113"/>
      <c r="D45" s="113"/>
      <c r="E45" s="113"/>
      <c r="F45" s="113"/>
      <c r="G45" s="113"/>
      <c r="H45" s="113"/>
      <c r="I45" s="113"/>
    </row>
    <row r="46" spans="1:9" ht="15">
      <c r="A46" s="78" t="s">
        <v>79</v>
      </c>
      <c r="B46" s="340" t="s">
        <v>182</v>
      </c>
      <c r="C46" s="340" t="s">
        <v>183</v>
      </c>
      <c r="D46" s="341" t="s">
        <v>105</v>
      </c>
      <c r="E46" s="340" t="s">
        <v>352</v>
      </c>
      <c r="F46" s="340" t="s">
        <v>15</v>
      </c>
      <c r="G46" s="340" t="s">
        <v>184</v>
      </c>
      <c r="H46" s="340" t="s">
        <v>185</v>
      </c>
      <c r="I46" s="340" t="s">
        <v>81</v>
      </c>
    </row>
    <row r="47" spans="1:9" ht="15">
      <c r="A47" s="64" t="s">
        <v>186</v>
      </c>
      <c r="B47" s="332"/>
      <c r="C47" s="332"/>
      <c r="D47" s="102">
        <f>B47+C47</f>
        <v>0</v>
      </c>
      <c r="E47" s="102"/>
      <c r="F47" s="102"/>
      <c r="G47" s="102">
        <f>SUM(E47:F47)</f>
        <v>0</v>
      </c>
      <c r="H47" s="102">
        <f>'T1-UR16'!K53</f>
        <v>18869500</v>
      </c>
      <c r="I47" s="102">
        <f>D47+G47+H47</f>
        <v>18869500</v>
      </c>
    </row>
    <row r="48" spans="1:9" ht="15">
      <c r="A48" s="64" t="s">
        <v>433</v>
      </c>
      <c r="B48" s="343"/>
      <c r="C48" s="332"/>
      <c r="D48" s="102">
        <f>B48+C48</f>
        <v>0</v>
      </c>
      <c r="E48" s="102"/>
      <c r="F48" s="102"/>
      <c r="G48" s="102">
        <f>SUM(E48:F48)</f>
        <v>0</v>
      </c>
      <c r="H48" s="102"/>
      <c r="I48" s="102">
        <f>D48+G48+H48</f>
        <v>0</v>
      </c>
    </row>
    <row r="49" spans="1:9" ht="15">
      <c r="A49" s="64" t="s">
        <v>434</v>
      </c>
      <c r="B49" s="343"/>
      <c r="C49" s="102"/>
      <c r="D49" s="102">
        <f>B49+C49</f>
        <v>0</v>
      </c>
      <c r="E49" s="102"/>
      <c r="F49" s="102"/>
      <c r="G49" s="102">
        <f>SUM(E49:F49)</f>
        <v>0</v>
      </c>
      <c r="H49" s="102"/>
      <c r="I49" s="102">
        <f>D49+G49+H49</f>
        <v>0</v>
      </c>
    </row>
    <row r="50" spans="1:9" ht="15">
      <c r="A50" s="63" t="s">
        <v>187</v>
      </c>
      <c r="B50" s="333">
        <f>B47+B48+B49</f>
        <v>0</v>
      </c>
      <c r="C50" s="333">
        <f>C47+C48+C49</f>
        <v>0</v>
      </c>
      <c r="D50" s="333">
        <f>B50+C50</f>
        <v>0</v>
      </c>
      <c r="E50" s="333">
        <f>E47+E48+E49</f>
        <v>0</v>
      </c>
      <c r="F50" s="333">
        <f>F47+F48+F49</f>
        <v>0</v>
      </c>
      <c r="G50" s="333">
        <f>G47+G48+G49</f>
        <v>0</v>
      </c>
      <c r="H50" s="333">
        <f>H47+H48+H49</f>
        <v>18869500</v>
      </c>
      <c r="I50" s="333">
        <f>D50+G50+H50</f>
        <v>18869500</v>
      </c>
    </row>
    <row r="51" spans="1:9" ht="15">
      <c r="A51" s="558" t="s">
        <v>348</v>
      </c>
      <c r="B51" s="528">
        <f aca="true" t="shared" si="5" ref="B51:H51">SUM(B52:B53)</f>
        <v>0</v>
      </c>
      <c r="C51" s="528">
        <f t="shared" si="5"/>
        <v>0</v>
      </c>
      <c r="D51" s="559">
        <f t="shared" si="5"/>
        <v>0</v>
      </c>
      <c r="E51" s="528">
        <f t="shared" si="5"/>
        <v>0</v>
      </c>
      <c r="F51" s="528">
        <f t="shared" si="5"/>
        <v>0</v>
      </c>
      <c r="G51" s="559">
        <f t="shared" si="5"/>
        <v>0</v>
      </c>
      <c r="H51" s="528">
        <f t="shared" si="5"/>
        <v>18869500</v>
      </c>
      <c r="I51" s="560">
        <f>I52+I53</f>
        <v>18869500</v>
      </c>
    </row>
    <row r="52" spans="1:9" ht="15">
      <c r="A52" s="64" t="s">
        <v>188</v>
      </c>
      <c r="B52" s="102"/>
      <c r="C52" s="102"/>
      <c r="D52" s="334">
        <f>SUM(B52:C52)</f>
        <v>0</v>
      </c>
      <c r="E52" s="102"/>
      <c r="F52" s="102"/>
      <c r="G52" s="334">
        <f>SUM(E52:F52)</f>
        <v>0</v>
      </c>
      <c r="H52" s="102">
        <v>18869500</v>
      </c>
      <c r="I52" s="334">
        <f>D52+G52+H52</f>
        <v>18869500</v>
      </c>
    </row>
    <row r="53" spans="1:9" ht="15">
      <c r="A53" s="142" t="s">
        <v>600</v>
      </c>
      <c r="B53" s="335"/>
      <c r="C53" s="335"/>
      <c r="D53" s="336">
        <f>SUM(B53:C53)</f>
        <v>0</v>
      </c>
      <c r="E53" s="335"/>
      <c r="F53" s="335"/>
      <c r="G53" s="337">
        <f>SUM(E53:F53)</f>
        <v>0</v>
      </c>
      <c r="H53" s="335"/>
      <c r="I53" s="336">
        <f>B53+C53+F53+E53+H53</f>
        <v>0</v>
      </c>
    </row>
    <row r="54" spans="2:9" ht="15">
      <c r="B54" s="338"/>
      <c r="C54" s="113"/>
      <c r="D54" s="113"/>
      <c r="E54" s="113"/>
      <c r="F54" s="113"/>
      <c r="G54" s="113"/>
      <c r="H54" s="113"/>
      <c r="I54" s="342">
        <f>I51-I50</f>
        <v>0</v>
      </c>
    </row>
    <row r="55" spans="2:9" ht="15">
      <c r="B55" s="338"/>
      <c r="C55" s="113"/>
      <c r="D55" s="113"/>
      <c r="E55" s="113"/>
      <c r="F55" s="113"/>
      <c r="G55" s="113"/>
      <c r="H55" s="113"/>
      <c r="I55" s="339"/>
    </row>
    <row r="56" spans="1:9" ht="15">
      <c r="A56" s="78" t="s">
        <v>196</v>
      </c>
      <c r="B56" s="340" t="s">
        <v>182</v>
      </c>
      <c r="C56" s="340" t="s">
        <v>183</v>
      </c>
      <c r="D56" s="341" t="s">
        <v>105</v>
      </c>
      <c r="E56" s="340" t="s">
        <v>352</v>
      </c>
      <c r="F56" s="340" t="s">
        <v>15</v>
      </c>
      <c r="G56" s="340" t="s">
        <v>184</v>
      </c>
      <c r="H56" s="340" t="s">
        <v>185</v>
      </c>
      <c r="I56" s="340" t="s">
        <v>81</v>
      </c>
    </row>
    <row r="57" spans="1:9" ht="15">
      <c r="A57" s="64" t="s">
        <v>186</v>
      </c>
      <c r="B57" s="332">
        <f>'T1-UR16'!D65-'T1-UR16'!D54</f>
        <v>34771609</v>
      </c>
      <c r="C57" s="332">
        <f>'T1-UR16'!E65-'T1-UR16'!E54</f>
        <v>23966100</v>
      </c>
      <c r="D57" s="332">
        <f>SUM(B57:C57)</f>
        <v>58737709</v>
      </c>
      <c r="E57" s="332">
        <f>'T1-UR16'!G65-'T1-UR16'!G54</f>
        <v>14355666</v>
      </c>
      <c r="F57" s="332">
        <f>'T1-UR16'!H65-'T1-UR16'!H54</f>
        <v>521574</v>
      </c>
      <c r="G57" s="332">
        <f>SUM(E57:F57)</f>
        <v>14877240</v>
      </c>
      <c r="H57" s="332">
        <f>'T1-UR16'!K65-'T1-UR16'!K54</f>
        <v>18897388</v>
      </c>
      <c r="I57" s="102">
        <f>D57+G57+H57</f>
        <v>92512337</v>
      </c>
    </row>
    <row r="58" spans="1:9" ht="15">
      <c r="A58" s="64" t="s">
        <v>433</v>
      </c>
      <c r="B58" s="332">
        <f>'T2-EU '!E27</f>
        <v>11226350</v>
      </c>
      <c r="C58" s="332">
        <f>'T2-EU '!F27</f>
        <v>11554801</v>
      </c>
      <c r="D58" s="332">
        <f>SUM(B58:C58)</f>
        <v>22781151</v>
      </c>
      <c r="E58" s="332">
        <f>'T2-EU '!G27</f>
        <v>8250568</v>
      </c>
      <c r="F58" s="332">
        <f>'T2-EU '!H27</f>
        <v>168399</v>
      </c>
      <c r="G58" s="332">
        <f>SUM(E58:F58)</f>
        <v>8418967</v>
      </c>
      <c r="H58" s="332">
        <f>'T2-EU '!I27</f>
        <v>10334006</v>
      </c>
      <c r="I58" s="102">
        <f>D58+G58+H58</f>
        <v>41534124</v>
      </c>
    </row>
    <row r="59" spans="1:9" ht="15">
      <c r="A59" s="64" t="s">
        <v>434</v>
      </c>
      <c r="B59" s="332">
        <f>'T2-EU '!E30</f>
        <v>0</v>
      </c>
      <c r="C59" s="332">
        <f>'T2-EU '!F30</f>
        <v>0</v>
      </c>
      <c r="D59" s="102">
        <f>B59+C59</f>
        <v>0</v>
      </c>
      <c r="E59" s="332">
        <f>'T2-EU '!G30</f>
        <v>0</v>
      </c>
      <c r="F59" s="332">
        <f>'T2-EU '!H30</f>
        <v>0</v>
      </c>
      <c r="G59" s="102">
        <f>SUM(E59:F59)</f>
        <v>0</v>
      </c>
      <c r="H59" s="332">
        <f>'T2-EU '!I30</f>
        <v>2570</v>
      </c>
      <c r="I59" s="102">
        <f>D59+G59+H59</f>
        <v>2570</v>
      </c>
    </row>
    <row r="60" spans="1:9" ht="15">
      <c r="A60" s="63" t="s">
        <v>187</v>
      </c>
      <c r="B60" s="333">
        <f>B57+B58+B59</f>
        <v>45997959</v>
      </c>
      <c r="C60" s="333">
        <f>C57+C58+C59</f>
        <v>35520901</v>
      </c>
      <c r="D60" s="333">
        <f>B60+C60</f>
        <v>81518860</v>
      </c>
      <c r="E60" s="333">
        <f>E57+E58+E59</f>
        <v>22606234</v>
      </c>
      <c r="F60" s="333">
        <f>F57+F58+F59</f>
        <v>689973</v>
      </c>
      <c r="G60" s="333">
        <f>SUM(E60:F60)</f>
        <v>23296207</v>
      </c>
      <c r="H60" s="333">
        <f>H57+H58+H59</f>
        <v>29233964</v>
      </c>
      <c r="I60" s="333">
        <f>D60+G60+H60</f>
        <v>134049031</v>
      </c>
    </row>
    <row r="61" spans="1:9" ht="15">
      <c r="A61" s="558" t="s">
        <v>348</v>
      </c>
      <c r="B61" s="528">
        <f aca="true" t="shared" si="6" ref="B61:H61">SUM(B62:B63)</f>
        <v>41181644</v>
      </c>
      <c r="C61" s="528">
        <f t="shared" si="6"/>
        <v>31402980</v>
      </c>
      <c r="D61" s="559">
        <f t="shared" si="6"/>
        <v>72584624</v>
      </c>
      <c r="E61" s="528">
        <f t="shared" si="6"/>
        <v>19106749</v>
      </c>
      <c r="F61" s="528">
        <f t="shared" si="6"/>
        <v>617725</v>
      </c>
      <c r="G61" s="559">
        <f t="shared" si="6"/>
        <v>19724474</v>
      </c>
      <c r="H61" s="528">
        <f t="shared" si="6"/>
        <v>24424293.85</v>
      </c>
      <c r="I61" s="560">
        <f>I62+I63</f>
        <v>116733391.85</v>
      </c>
    </row>
    <row r="62" spans="1:9" ht="15">
      <c r="A62" s="64" t="s">
        <v>188</v>
      </c>
      <c r="B62" s="386">
        <v>34771609</v>
      </c>
      <c r="C62" s="386">
        <v>23966100</v>
      </c>
      <c r="D62" s="334">
        <f>SUM(B62:C62)</f>
        <v>58737709</v>
      </c>
      <c r="E62" s="385">
        <v>14358236</v>
      </c>
      <c r="F62" s="385">
        <v>521574</v>
      </c>
      <c r="G62" s="334">
        <f>SUM(E62:F62)</f>
        <v>14879810</v>
      </c>
      <c r="H62" s="385">
        <v>18776784.85</v>
      </c>
      <c r="I62" s="334">
        <f>D62+G62+H62</f>
        <v>92394303.85</v>
      </c>
    </row>
    <row r="63" spans="1:9" ht="15">
      <c r="A63" s="142" t="s">
        <v>600</v>
      </c>
      <c r="B63" s="387">
        <v>6410035</v>
      </c>
      <c r="C63" s="387">
        <v>7436880</v>
      </c>
      <c r="D63" s="336">
        <f>SUM(B63:C63)</f>
        <v>13846915</v>
      </c>
      <c r="E63" s="335">
        <v>4748513</v>
      </c>
      <c r="F63" s="335">
        <v>96151</v>
      </c>
      <c r="G63" s="337">
        <f>SUM(E63:F63)</f>
        <v>4844664</v>
      </c>
      <c r="H63" s="335">
        <v>5647509</v>
      </c>
      <c r="I63" s="336">
        <f>B63+C63+F63+E63+H63</f>
        <v>24339088</v>
      </c>
    </row>
    <row r="64" spans="2:9" ht="15">
      <c r="B64" s="338"/>
      <c r="C64" s="113"/>
      <c r="D64" s="113"/>
      <c r="E64" s="113"/>
      <c r="F64" s="113"/>
      <c r="G64" s="113"/>
      <c r="H64" s="113"/>
      <c r="I64" s="342">
        <f>I61-I60</f>
        <v>-17315639.150000006</v>
      </c>
    </row>
    <row r="65" spans="2:9" ht="12.75">
      <c r="B65" s="113"/>
      <c r="C65" s="113"/>
      <c r="D65" s="113"/>
      <c r="E65" s="113"/>
      <c r="F65" s="113"/>
      <c r="G65" s="113"/>
      <c r="H65" s="113"/>
      <c r="I65" s="113"/>
    </row>
    <row r="66" spans="1:9" ht="15">
      <c r="A66" s="66" t="s">
        <v>120</v>
      </c>
      <c r="B66" s="340" t="s">
        <v>182</v>
      </c>
      <c r="C66" s="340" t="s">
        <v>183</v>
      </c>
      <c r="D66" s="341" t="s">
        <v>105</v>
      </c>
      <c r="E66" s="340" t="s">
        <v>352</v>
      </c>
      <c r="F66" s="340" t="s">
        <v>15</v>
      </c>
      <c r="G66" s="340" t="s">
        <v>184</v>
      </c>
      <c r="H66" s="340" t="s">
        <v>185</v>
      </c>
      <c r="I66" s="340" t="s">
        <v>81</v>
      </c>
    </row>
    <row r="67" spans="1:9" ht="15">
      <c r="A67" s="64" t="s">
        <v>186</v>
      </c>
      <c r="B67" s="332">
        <f>'T1-UR16'!D70-'T1-UR16'!D66-7+7</f>
        <v>24167386</v>
      </c>
      <c r="C67" s="332">
        <f>'T1-UR16'!E70-'T1-UR16'!E66</f>
        <v>34211535</v>
      </c>
      <c r="D67" s="102">
        <f>B67+C67</f>
        <v>58378921</v>
      </c>
      <c r="E67" s="332">
        <f>'T1-UR16'!G70-'T1-UR16'!G66-6+6</f>
        <v>19848833</v>
      </c>
      <c r="F67" s="332">
        <f>'T1-UR16'!H70-'T1-UR16'!H66-3+3</f>
        <v>362511</v>
      </c>
      <c r="G67" s="102">
        <f>SUM(E67:F67)</f>
        <v>20211344</v>
      </c>
      <c r="H67" s="102">
        <f>'T1-UR16'!K70-'T1-UR16'!K66-13+13</f>
        <v>113893019</v>
      </c>
      <c r="I67" s="102">
        <f>D67+G67+H67</f>
        <v>192483284</v>
      </c>
    </row>
    <row r="68" spans="1:9" ht="15">
      <c r="A68" s="64" t="s">
        <v>433</v>
      </c>
      <c r="B68" s="332">
        <f>'T2-EU '!E32</f>
        <v>0</v>
      </c>
      <c r="C68" s="332">
        <f>'T2-EU '!F32</f>
        <v>0</v>
      </c>
      <c r="D68" s="102">
        <f>B68+C68</f>
        <v>0</v>
      </c>
      <c r="E68" s="332">
        <f>'T2-EU '!G32</f>
        <v>0</v>
      </c>
      <c r="F68" s="332">
        <f>'T2-EU '!H32</f>
        <v>0</v>
      </c>
      <c r="G68" s="102">
        <f>SUM(E68:F68)</f>
        <v>0</v>
      </c>
      <c r="H68" s="332">
        <f>'T2-EU '!I34</f>
        <v>308000</v>
      </c>
      <c r="I68" s="102">
        <f>D68+G68+H68</f>
        <v>308000</v>
      </c>
    </row>
    <row r="69" spans="1:9" ht="15">
      <c r="A69" s="64" t="s">
        <v>434</v>
      </c>
      <c r="B69" s="102"/>
      <c r="C69" s="102"/>
      <c r="D69" s="102">
        <f>B69+C69</f>
        <v>0</v>
      </c>
      <c r="E69" s="102"/>
      <c r="F69" s="102"/>
      <c r="G69" s="102">
        <f>SUM(E69:F69)</f>
        <v>0</v>
      </c>
      <c r="H69" s="102"/>
      <c r="I69" s="102">
        <f>D69+G69+H69</f>
        <v>0</v>
      </c>
    </row>
    <row r="70" spans="1:9" ht="15">
      <c r="A70" s="63" t="s">
        <v>187</v>
      </c>
      <c r="B70" s="333">
        <f>B67+B68+B69</f>
        <v>24167386</v>
      </c>
      <c r="C70" s="333">
        <f>C67+C68+C69</f>
        <v>34211535</v>
      </c>
      <c r="D70" s="333">
        <f>B70+C70</f>
        <v>58378921</v>
      </c>
      <c r="E70" s="333">
        <f>E67+E68+E69</f>
        <v>19848833</v>
      </c>
      <c r="F70" s="333">
        <f>F67+F68+F69</f>
        <v>362511</v>
      </c>
      <c r="G70" s="333">
        <f>SUM(E70:F70)</f>
        <v>20211344</v>
      </c>
      <c r="H70" s="333">
        <f>H67+H68+H69</f>
        <v>114201019</v>
      </c>
      <c r="I70" s="333">
        <f>D70+G70+H70</f>
        <v>192791284</v>
      </c>
    </row>
    <row r="71" spans="1:9" ht="15">
      <c r="A71" s="558" t="s">
        <v>348</v>
      </c>
      <c r="B71" s="528">
        <f aca="true" t="shared" si="7" ref="B71:H71">SUM(B72:B73)</f>
        <v>24167386</v>
      </c>
      <c r="C71" s="528">
        <f t="shared" si="7"/>
        <v>34211535</v>
      </c>
      <c r="D71" s="559">
        <f t="shared" si="7"/>
        <v>58378921</v>
      </c>
      <c r="E71" s="528">
        <f t="shared" si="7"/>
        <v>19848833</v>
      </c>
      <c r="F71" s="528">
        <f t="shared" si="7"/>
        <v>362511</v>
      </c>
      <c r="G71" s="559">
        <f t="shared" si="7"/>
        <v>20211344</v>
      </c>
      <c r="H71" s="528">
        <f t="shared" si="7"/>
        <v>114070174.17</v>
      </c>
      <c r="I71" s="560">
        <f>I72+I73</f>
        <v>192660439.17</v>
      </c>
    </row>
    <row r="72" spans="1:9" ht="15">
      <c r="A72" s="64" t="s">
        <v>188</v>
      </c>
      <c r="B72" s="102">
        <v>24167386</v>
      </c>
      <c r="C72" s="102">
        <v>34211535</v>
      </c>
      <c r="D72" s="334">
        <f>SUM(B72:C72)</f>
        <v>58378921</v>
      </c>
      <c r="E72" s="102">
        <v>19848833</v>
      </c>
      <c r="F72" s="102">
        <v>362511</v>
      </c>
      <c r="G72" s="334">
        <f>SUM(E72:F72)</f>
        <v>20211344</v>
      </c>
      <c r="H72" s="102">
        <v>113792276</v>
      </c>
      <c r="I72" s="334">
        <f>D72+G72+H72</f>
        <v>192382541</v>
      </c>
    </row>
    <row r="73" spans="1:9" ht="15">
      <c r="A73" s="142" t="s">
        <v>600</v>
      </c>
      <c r="B73" s="335"/>
      <c r="C73" s="335"/>
      <c r="D73" s="336">
        <f>SUM(B73:C73)</f>
        <v>0</v>
      </c>
      <c r="E73" s="335"/>
      <c r="F73" s="335"/>
      <c r="G73" s="337">
        <f>SUM(E73:F73)</f>
        <v>0</v>
      </c>
      <c r="H73" s="335">
        <v>277898.17000000004</v>
      </c>
      <c r="I73" s="336">
        <f>B73+C73+F73+E73+H73</f>
        <v>277898.17000000004</v>
      </c>
    </row>
    <row r="74" spans="2:9" ht="15">
      <c r="B74" s="338"/>
      <c r="C74" s="113"/>
      <c r="D74" s="113"/>
      <c r="E74" s="113"/>
      <c r="F74" s="113"/>
      <c r="G74" s="113"/>
      <c r="H74" s="113"/>
      <c r="I74" s="342">
        <f>I71-I70</f>
        <v>-130844.83000001311</v>
      </c>
    </row>
    <row r="75" spans="2:9" ht="12.75">
      <c r="B75" s="113"/>
      <c r="C75" s="113"/>
      <c r="D75" s="113"/>
      <c r="E75" s="113"/>
      <c r="F75" s="113"/>
      <c r="G75" s="113"/>
      <c r="H75" s="113"/>
      <c r="I75" s="113"/>
    </row>
    <row r="76" spans="1:9" ht="15">
      <c r="A76" s="78" t="s">
        <v>122</v>
      </c>
      <c r="B76" s="340" t="s">
        <v>182</v>
      </c>
      <c r="C76" s="340" t="s">
        <v>183</v>
      </c>
      <c r="D76" s="341" t="s">
        <v>105</v>
      </c>
      <c r="E76" s="340" t="s">
        <v>352</v>
      </c>
      <c r="F76" s="340" t="s">
        <v>15</v>
      </c>
      <c r="G76" s="340" t="s">
        <v>184</v>
      </c>
      <c r="H76" s="340" t="s">
        <v>185</v>
      </c>
      <c r="I76" s="340" t="s">
        <v>81</v>
      </c>
    </row>
    <row r="77" spans="1:9" ht="15">
      <c r="A77" s="64" t="s">
        <v>186</v>
      </c>
      <c r="B77" s="332">
        <f>'T1-UR16'!D74</f>
        <v>2015950</v>
      </c>
      <c r="C77" s="332">
        <f>'T1-UR16'!E74</f>
        <v>965000</v>
      </c>
      <c r="D77" s="102">
        <f>B77+C77</f>
        <v>2980950</v>
      </c>
      <c r="E77" s="102">
        <f>'T1-UR16'!G74</f>
        <v>988023</v>
      </c>
      <c r="F77" s="102">
        <f>'T1-UR16'!H74</f>
        <v>30239</v>
      </c>
      <c r="G77" s="102">
        <f>SUM(E77:F77)</f>
        <v>1018262</v>
      </c>
      <c r="H77" s="102">
        <f>'T1-UR16'!K74</f>
        <v>1641068</v>
      </c>
      <c r="I77" s="102">
        <f>D77+G77+H77</f>
        <v>5640280</v>
      </c>
    </row>
    <row r="78" spans="1:9" ht="15">
      <c r="A78" s="64" t="s">
        <v>433</v>
      </c>
      <c r="B78" s="332"/>
      <c r="C78" s="332"/>
      <c r="D78" s="102">
        <f>B78+C78</f>
        <v>0</v>
      </c>
      <c r="E78" s="102"/>
      <c r="F78" s="102"/>
      <c r="G78" s="102">
        <f>SUM(E78:F78)</f>
        <v>0</v>
      </c>
      <c r="H78" s="102"/>
      <c r="I78" s="102">
        <f>D78+G78+H78</f>
        <v>0</v>
      </c>
    </row>
    <row r="79" spans="1:9" ht="15">
      <c r="A79" s="64" t="s">
        <v>434</v>
      </c>
      <c r="B79" s="313"/>
      <c r="C79" s="102"/>
      <c r="D79" s="102">
        <f>B79+C79</f>
        <v>0</v>
      </c>
      <c r="E79" s="102"/>
      <c r="F79" s="102"/>
      <c r="G79" s="102">
        <f>SUM(E79:F79)</f>
        <v>0</v>
      </c>
      <c r="H79" s="102"/>
      <c r="I79" s="102">
        <f>D79+G79+H79</f>
        <v>0</v>
      </c>
    </row>
    <row r="80" spans="1:9" ht="15">
      <c r="A80" s="63" t="s">
        <v>187</v>
      </c>
      <c r="B80" s="333">
        <f>B77+B78+B79</f>
        <v>2015950</v>
      </c>
      <c r="C80" s="333">
        <f>C77+C78+C79</f>
        <v>965000</v>
      </c>
      <c r="D80" s="333">
        <f>B80+C80</f>
        <v>2980950</v>
      </c>
      <c r="E80" s="333">
        <f>E77+E78+E79</f>
        <v>988023</v>
      </c>
      <c r="F80" s="333">
        <f>F77+F78+F79</f>
        <v>30239</v>
      </c>
      <c r="G80" s="333">
        <f>SUM(E80:F80)</f>
        <v>1018262</v>
      </c>
      <c r="H80" s="333">
        <f>H77+H78+H79</f>
        <v>1641068</v>
      </c>
      <c r="I80" s="333">
        <f>D80+G80+H80</f>
        <v>5640280</v>
      </c>
    </row>
    <row r="81" spans="1:9" ht="15">
      <c r="A81" s="558" t="s">
        <v>348</v>
      </c>
      <c r="B81" s="528">
        <f aca="true" t="shared" si="8" ref="B81:H81">SUM(B82:B83)</f>
        <v>2015950</v>
      </c>
      <c r="C81" s="528">
        <f t="shared" si="8"/>
        <v>965000</v>
      </c>
      <c r="D81" s="559">
        <f t="shared" si="8"/>
        <v>2980950</v>
      </c>
      <c r="E81" s="528">
        <f t="shared" si="8"/>
        <v>988023</v>
      </c>
      <c r="F81" s="528">
        <f t="shared" si="8"/>
        <v>30239</v>
      </c>
      <c r="G81" s="559">
        <f t="shared" si="8"/>
        <v>1018262</v>
      </c>
      <c r="H81" s="528">
        <f t="shared" si="8"/>
        <v>1641068</v>
      </c>
      <c r="I81" s="560">
        <f>I82+I83</f>
        <v>5640280</v>
      </c>
    </row>
    <row r="82" spans="1:9" ht="15">
      <c r="A82" s="64" t="s">
        <v>188</v>
      </c>
      <c r="B82" s="102">
        <v>2015950</v>
      </c>
      <c r="C82" s="102">
        <v>965000</v>
      </c>
      <c r="D82" s="334">
        <f>SUM(B82:C82)</f>
        <v>2980950</v>
      </c>
      <c r="E82" s="102">
        <v>988023</v>
      </c>
      <c r="F82" s="102">
        <v>30239</v>
      </c>
      <c r="G82" s="334">
        <f>SUM(E82:F82)</f>
        <v>1018262</v>
      </c>
      <c r="H82" s="102">
        <v>1641068</v>
      </c>
      <c r="I82" s="334">
        <f>D82+G82+H82</f>
        <v>5640280</v>
      </c>
    </row>
    <row r="83" spans="1:9" ht="15">
      <c r="A83" s="142" t="s">
        <v>600</v>
      </c>
      <c r="B83" s="335"/>
      <c r="C83" s="335"/>
      <c r="D83" s="336">
        <f>SUM(B83:C83)</f>
        <v>0</v>
      </c>
      <c r="E83" s="335"/>
      <c r="F83" s="335"/>
      <c r="G83" s="337">
        <f>SUM(E83:F83)</f>
        <v>0</v>
      </c>
      <c r="H83" s="335"/>
      <c r="I83" s="336">
        <f>B83+C83+F83+E83+H83</f>
        <v>0</v>
      </c>
    </row>
    <row r="84" spans="2:9" ht="15">
      <c r="B84" s="338"/>
      <c r="C84" s="113"/>
      <c r="D84" s="113"/>
      <c r="E84" s="113"/>
      <c r="F84" s="113"/>
      <c r="G84" s="113"/>
      <c r="H84" s="113"/>
      <c r="I84" s="342">
        <f>I81-I80</f>
        <v>0</v>
      </c>
    </row>
    <row r="85" spans="2:9" ht="12.75">
      <c r="B85" s="113"/>
      <c r="C85" s="113"/>
      <c r="D85" s="113"/>
      <c r="E85" s="113"/>
      <c r="F85" s="113"/>
      <c r="G85" s="113"/>
      <c r="H85" s="113"/>
      <c r="I85" s="113"/>
    </row>
    <row r="86" spans="1:9" ht="15">
      <c r="A86" s="78" t="s">
        <v>80</v>
      </c>
      <c r="B86" s="340" t="s">
        <v>182</v>
      </c>
      <c r="C86" s="340" t="s">
        <v>183</v>
      </c>
      <c r="D86" s="341" t="s">
        <v>105</v>
      </c>
      <c r="E86" s="340" t="s">
        <v>352</v>
      </c>
      <c r="F86" s="340" t="s">
        <v>15</v>
      </c>
      <c r="G86" s="340" t="s">
        <v>184</v>
      </c>
      <c r="H86" s="340" t="s">
        <v>185</v>
      </c>
      <c r="I86" s="340" t="s">
        <v>81</v>
      </c>
    </row>
    <row r="87" spans="1:9" ht="15">
      <c r="A87" s="64" t="s">
        <v>186</v>
      </c>
      <c r="B87" s="332">
        <f>'T1-UR16'!D76</f>
        <v>2820079</v>
      </c>
      <c r="C87" s="332">
        <f>'T1-UR16'!E76</f>
        <v>784182</v>
      </c>
      <c r="D87" s="102">
        <f>B87+C87</f>
        <v>3604261</v>
      </c>
      <c r="E87" s="102">
        <f>'T1-UR16'!G76</f>
        <v>973808</v>
      </c>
      <c r="F87" s="102">
        <f>'T1-UR16'!H76</f>
        <v>42301</v>
      </c>
      <c r="G87" s="102">
        <f>SUM(E87:F87)</f>
        <v>1016109</v>
      </c>
      <c r="H87" s="102">
        <f>'T1-UR16'!K76</f>
        <v>9298997</v>
      </c>
      <c r="I87" s="102">
        <f>D87+G87+H87</f>
        <v>13919367</v>
      </c>
    </row>
    <row r="88" spans="1:9" ht="15">
      <c r="A88" s="64" t="s">
        <v>433</v>
      </c>
      <c r="B88" s="332"/>
      <c r="C88" s="332"/>
      <c r="D88" s="102">
        <f>B88+C88</f>
        <v>0</v>
      </c>
      <c r="E88" s="102"/>
      <c r="F88" s="102"/>
      <c r="G88" s="102">
        <f>SUM(E88:F88)</f>
        <v>0</v>
      </c>
      <c r="H88" s="102"/>
      <c r="I88" s="102">
        <f>D88+G88+H88</f>
        <v>0</v>
      </c>
    </row>
    <row r="89" spans="1:9" ht="15">
      <c r="A89" s="64" t="s">
        <v>434</v>
      </c>
      <c r="B89" s="313"/>
      <c r="C89" s="102"/>
      <c r="D89" s="102">
        <f>B89+C89</f>
        <v>0</v>
      </c>
      <c r="E89" s="102"/>
      <c r="F89" s="102"/>
      <c r="G89" s="102">
        <f>SUM(E89:F89)</f>
        <v>0</v>
      </c>
      <c r="H89" s="102"/>
      <c r="I89" s="102">
        <f>D89+G89+H89</f>
        <v>0</v>
      </c>
    </row>
    <row r="90" spans="1:9" ht="15">
      <c r="A90" s="63" t="s">
        <v>187</v>
      </c>
      <c r="B90" s="333">
        <f>B87+B88+B89</f>
        <v>2820079</v>
      </c>
      <c r="C90" s="333">
        <f>C87+C88+C89</f>
        <v>784182</v>
      </c>
      <c r="D90" s="333">
        <f>B90+C90</f>
        <v>3604261</v>
      </c>
      <c r="E90" s="333">
        <f>E87+E88+E89</f>
        <v>973808</v>
      </c>
      <c r="F90" s="333">
        <f>F87+F88+F89</f>
        <v>42301</v>
      </c>
      <c r="G90" s="333">
        <f>SUM(E90:F90)</f>
        <v>1016109</v>
      </c>
      <c r="H90" s="333">
        <f>H87+H88+H89</f>
        <v>9298997</v>
      </c>
      <c r="I90" s="333">
        <f>D90+G90+H90</f>
        <v>13919367</v>
      </c>
    </row>
    <row r="91" spans="1:9" ht="15">
      <c r="A91" s="558" t="s">
        <v>348</v>
      </c>
      <c r="B91" s="561">
        <f aca="true" t="shared" si="9" ref="B91:H91">SUM(B92:B93)</f>
        <v>2820079</v>
      </c>
      <c r="C91" s="561">
        <f t="shared" si="9"/>
        <v>784182</v>
      </c>
      <c r="D91" s="559">
        <f t="shared" si="9"/>
        <v>3604261</v>
      </c>
      <c r="E91" s="561">
        <f t="shared" si="9"/>
        <v>973808</v>
      </c>
      <c r="F91" s="561">
        <f t="shared" si="9"/>
        <v>42301</v>
      </c>
      <c r="G91" s="559">
        <f t="shared" si="9"/>
        <v>1016109</v>
      </c>
      <c r="H91" s="561">
        <f t="shared" si="9"/>
        <v>9298997</v>
      </c>
      <c r="I91" s="560">
        <f>I92+I93</f>
        <v>13919367</v>
      </c>
    </row>
    <row r="92" spans="1:9" ht="15">
      <c r="A92" s="64" t="s">
        <v>188</v>
      </c>
      <c r="B92" s="102">
        <v>2820079</v>
      </c>
      <c r="C92" s="102">
        <v>784182</v>
      </c>
      <c r="D92" s="334">
        <f>SUM(B92:C92)</f>
        <v>3604261</v>
      </c>
      <c r="E92" s="102">
        <v>973808</v>
      </c>
      <c r="F92" s="102">
        <v>42301</v>
      </c>
      <c r="G92" s="334">
        <f>SUM(E92:F92)</f>
        <v>1016109</v>
      </c>
      <c r="H92" s="102">
        <v>9298997</v>
      </c>
      <c r="I92" s="334">
        <f>D92+G92+H92</f>
        <v>13919367</v>
      </c>
    </row>
    <row r="93" spans="1:9" ht="15">
      <c r="A93" s="142" t="s">
        <v>600</v>
      </c>
      <c r="B93" s="335"/>
      <c r="C93" s="335"/>
      <c r="D93" s="336">
        <f>SUM(B93:C93)</f>
        <v>0</v>
      </c>
      <c r="E93" s="335"/>
      <c r="F93" s="335"/>
      <c r="G93" s="337">
        <f>SUM(E93:F93)</f>
        <v>0</v>
      </c>
      <c r="H93" s="335"/>
      <c r="I93" s="336">
        <f>B93+C93+F93+E93+H93</f>
        <v>0</v>
      </c>
    </row>
    <row r="94" spans="2:9" ht="15">
      <c r="B94" s="338"/>
      <c r="C94" s="113"/>
      <c r="D94" s="113"/>
      <c r="E94" s="113"/>
      <c r="F94" s="113"/>
      <c r="G94" s="113"/>
      <c r="H94" s="113"/>
      <c r="I94" s="342">
        <f>I91-I90</f>
        <v>0</v>
      </c>
    </row>
    <row r="95" spans="2:9" ht="15">
      <c r="B95" s="338"/>
      <c r="C95" s="113"/>
      <c r="D95" s="113"/>
      <c r="E95" s="113"/>
      <c r="F95" s="113"/>
      <c r="G95" s="113"/>
      <c r="H95" s="113"/>
      <c r="I95" s="339"/>
    </row>
    <row r="96" spans="1:9" ht="15">
      <c r="A96" s="78" t="s">
        <v>81</v>
      </c>
      <c r="B96" s="340" t="s">
        <v>182</v>
      </c>
      <c r="C96" s="340" t="s">
        <v>183</v>
      </c>
      <c r="D96" s="341" t="s">
        <v>105</v>
      </c>
      <c r="E96" s="340" t="s">
        <v>352</v>
      </c>
      <c r="F96" s="340" t="s">
        <v>15</v>
      </c>
      <c r="G96" s="340" t="s">
        <v>184</v>
      </c>
      <c r="H96" s="340" t="s">
        <v>185</v>
      </c>
      <c r="I96" s="340" t="s">
        <v>81</v>
      </c>
    </row>
    <row r="97" spans="1:9" ht="15">
      <c r="A97" s="64" t="s">
        <v>186</v>
      </c>
      <c r="B97" s="332">
        <f aca="true" t="shared" si="10" ref="B97:H97">B6+B16+B26+B37+B47+B57+B67+B77+B87</f>
        <v>210220189</v>
      </c>
      <c r="C97" s="332">
        <f t="shared" si="10"/>
        <v>112970991</v>
      </c>
      <c r="D97" s="332">
        <f t="shared" si="10"/>
        <v>323191180</v>
      </c>
      <c r="E97" s="332">
        <f t="shared" si="10"/>
        <v>95906987</v>
      </c>
      <c r="F97" s="332">
        <f t="shared" si="10"/>
        <v>3146045</v>
      </c>
      <c r="G97" s="332">
        <f t="shared" si="10"/>
        <v>99053032</v>
      </c>
      <c r="H97" s="332">
        <f t="shared" si="10"/>
        <v>596894089</v>
      </c>
      <c r="I97" s="102">
        <f>D97+G97+H97</f>
        <v>1019138301</v>
      </c>
    </row>
    <row r="98" spans="1:9" ht="15">
      <c r="A98" s="64" t="s">
        <v>433</v>
      </c>
      <c r="B98" s="332">
        <f>B7+B17+B27+B38+B48+B58+B68+B78+B88</f>
        <v>58734051</v>
      </c>
      <c r="C98" s="332">
        <f aca="true" t="shared" si="11" ref="C98:I98">C7+C17+C27+C38+C48+C58+C68+C78+C88</f>
        <v>26024164</v>
      </c>
      <c r="D98" s="332">
        <f t="shared" si="11"/>
        <v>84758215</v>
      </c>
      <c r="E98" s="332">
        <f t="shared" si="11"/>
        <v>20747107</v>
      </c>
      <c r="F98" s="332">
        <f t="shared" si="11"/>
        <v>697081</v>
      </c>
      <c r="G98" s="332">
        <f t="shared" si="11"/>
        <v>21444188</v>
      </c>
      <c r="H98" s="332">
        <f t="shared" si="11"/>
        <v>30895985</v>
      </c>
      <c r="I98" s="332">
        <f t="shared" si="11"/>
        <v>137098388</v>
      </c>
    </row>
    <row r="99" spans="1:9" ht="15">
      <c r="A99" s="64" t="s">
        <v>434</v>
      </c>
      <c r="B99" s="332">
        <f>B8+B18+B28+B39+B49+B59+B69+B79+B89</f>
        <v>0</v>
      </c>
      <c r="C99" s="332">
        <f aca="true" t="shared" si="12" ref="C99:I99">C8+C18+C28+C39+C49+C59+C69+C79+C89</f>
        <v>0</v>
      </c>
      <c r="D99" s="332">
        <f t="shared" si="12"/>
        <v>0</v>
      </c>
      <c r="E99" s="332">
        <f t="shared" si="12"/>
        <v>6275808.31</v>
      </c>
      <c r="F99" s="332">
        <f t="shared" si="12"/>
        <v>223589</v>
      </c>
      <c r="G99" s="332">
        <f t="shared" si="12"/>
        <v>6499397.31</v>
      </c>
      <c r="H99" s="332">
        <f t="shared" si="12"/>
        <v>15343893.65</v>
      </c>
      <c r="I99" s="332">
        <f t="shared" si="12"/>
        <v>21843290.96</v>
      </c>
    </row>
    <row r="100" spans="1:9" ht="15">
      <c r="A100" s="63" t="s">
        <v>187</v>
      </c>
      <c r="B100" s="333">
        <f>B97+B98+B99</f>
        <v>268954240</v>
      </c>
      <c r="C100" s="333">
        <f>C97+C98+C99</f>
        <v>138995155</v>
      </c>
      <c r="D100" s="333">
        <f>B100+C100</f>
        <v>407949395</v>
      </c>
      <c r="E100" s="333">
        <f>E97+E98+E99</f>
        <v>122929902.31</v>
      </c>
      <c r="F100" s="333">
        <f>F97+F98+F99</f>
        <v>4066715</v>
      </c>
      <c r="G100" s="333">
        <f>G97+G98+G99</f>
        <v>126996617.31</v>
      </c>
      <c r="H100" s="333">
        <f>H97+H98+H99</f>
        <v>643133967.65</v>
      </c>
      <c r="I100" s="333">
        <f>D100+G100+H100</f>
        <v>1178079979.96</v>
      </c>
    </row>
    <row r="101" spans="1:9" ht="15">
      <c r="A101" s="558" t="s">
        <v>348</v>
      </c>
      <c r="B101" s="562">
        <f aca="true" t="shared" si="13" ref="B101:H101">SUM(B102:B103)</f>
        <v>262508661</v>
      </c>
      <c r="C101" s="528">
        <f t="shared" si="13"/>
        <v>134503229.28</v>
      </c>
      <c r="D101" s="559">
        <f t="shared" si="13"/>
        <v>397011890.28</v>
      </c>
      <c r="E101" s="528">
        <f t="shared" si="13"/>
        <v>118457663.31</v>
      </c>
      <c r="F101" s="528">
        <f t="shared" si="13"/>
        <v>3977286</v>
      </c>
      <c r="G101" s="559">
        <f t="shared" si="13"/>
        <v>122434949.31</v>
      </c>
      <c r="H101" s="528">
        <f t="shared" si="13"/>
        <v>554566731.6</v>
      </c>
      <c r="I101" s="560">
        <f>I102+I103</f>
        <v>1074013571.19</v>
      </c>
    </row>
    <row r="102" spans="1:9" ht="15">
      <c r="A102" s="64" t="s">
        <v>188</v>
      </c>
      <c r="B102" s="102">
        <f aca="true" t="shared" si="14" ref="B102:H103">B11+B21+B31+B42+B52+B62+B72+B82+B92</f>
        <v>209590926</v>
      </c>
      <c r="C102" s="102">
        <f t="shared" si="14"/>
        <v>112596991</v>
      </c>
      <c r="D102" s="334">
        <f t="shared" si="14"/>
        <v>322187917</v>
      </c>
      <c r="E102" s="102">
        <f t="shared" si="14"/>
        <v>95178786</v>
      </c>
      <c r="F102" s="102">
        <f t="shared" si="14"/>
        <v>3143866</v>
      </c>
      <c r="G102" s="334">
        <f t="shared" si="14"/>
        <v>98322652</v>
      </c>
      <c r="H102" s="102">
        <f t="shared" si="14"/>
        <v>518360668.85</v>
      </c>
      <c r="I102" s="333">
        <f>D102+G102+H102</f>
        <v>938871237.85</v>
      </c>
    </row>
    <row r="103" spans="1:9" ht="15">
      <c r="A103" s="142" t="s">
        <v>600</v>
      </c>
      <c r="B103" s="335">
        <f t="shared" si="14"/>
        <v>52917735</v>
      </c>
      <c r="C103" s="335">
        <f t="shared" si="14"/>
        <v>21906238.28</v>
      </c>
      <c r="D103" s="336">
        <f t="shared" si="14"/>
        <v>74823973.28</v>
      </c>
      <c r="E103" s="335">
        <f t="shared" si="14"/>
        <v>23278877.310000002</v>
      </c>
      <c r="F103" s="335">
        <f t="shared" si="14"/>
        <v>833420</v>
      </c>
      <c r="G103" s="337">
        <f t="shared" si="14"/>
        <v>24112297.310000002</v>
      </c>
      <c r="H103" s="335">
        <f t="shared" si="14"/>
        <v>36206062.75</v>
      </c>
      <c r="I103" s="336">
        <f>D103+G103+H103</f>
        <v>135142333.34</v>
      </c>
    </row>
    <row r="104" spans="2:9" ht="15">
      <c r="B104" s="338"/>
      <c r="C104" s="344"/>
      <c r="D104" s="344"/>
      <c r="E104" s="113"/>
      <c r="F104" s="113"/>
      <c r="G104" s="113"/>
      <c r="H104" s="113"/>
      <c r="I104" s="339">
        <f>I101-I100</f>
        <v>-104066408.76999998</v>
      </c>
    </row>
    <row r="105" spans="4:8" ht="12.75">
      <c r="D105" s="79"/>
      <c r="E105" s="82"/>
      <c r="F105" s="82"/>
      <c r="G105" s="82"/>
      <c r="H105" s="82"/>
    </row>
    <row r="106" spans="1:8" ht="12.75">
      <c r="A106" s="39" t="s">
        <v>189</v>
      </c>
      <c r="E106" s="52"/>
      <c r="F106" s="52"/>
      <c r="G106" s="52"/>
      <c r="H106" s="82"/>
    </row>
    <row r="108" spans="1:9" ht="12.75">
      <c r="A108" s="62" t="s">
        <v>190</v>
      </c>
      <c r="I108" s="344">
        <f>I97</f>
        <v>1019138301</v>
      </c>
    </row>
    <row r="109" spans="1:9" ht="12.75">
      <c r="A109" s="62" t="s">
        <v>433</v>
      </c>
      <c r="I109" s="338">
        <f>I98</f>
        <v>137098388</v>
      </c>
    </row>
    <row r="110" spans="1:9" ht="12.75">
      <c r="A110" s="62" t="s">
        <v>434</v>
      </c>
      <c r="I110" s="338">
        <f>I99</f>
        <v>21843290.96</v>
      </c>
    </row>
    <row r="111" spans="1:9" ht="12.75">
      <c r="A111" s="62"/>
      <c r="I111" s="344">
        <f>I108+I109+I110</f>
        <v>1178079979.96</v>
      </c>
    </row>
    <row r="112" spans="1:9" ht="12.75">
      <c r="A112" s="62"/>
      <c r="I112" s="344"/>
    </row>
    <row r="113" spans="1:9" ht="12" customHeight="1">
      <c r="A113" s="62" t="s">
        <v>353</v>
      </c>
      <c r="I113" s="344">
        <f>I101</f>
        <v>1074013571.19</v>
      </c>
    </row>
    <row r="114" spans="1:9" ht="12.75">
      <c r="A114" s="62" t="s">
        <v>191</v>
      </c>
      <c r="I114" s="344">
        <f>I102</f>
        <v>938871237.85</v>
      </c>
    </row>
    <row r="115" spans="1:9" ht="12.75">
      <c r="A115" s="62" t="s">
        <v>435</v>
      </c>
      <c r="H115" s="62"/>
      <c r="I115" s="344">
        <f>I113-I114</f>
        <v>135142333.34000003</v>
      </c>
    </row>
    <row r="116" spans="8:9" ht="12.75">
      <c r="H116" s="62"/>
      <c r="I116" s="39"/>
    </row>
  </sheetData>
  <sheetProtection/>
  <mergeCells count="1">
    <mergeCell ref="A3:I3"/>
  </mergeCells>
  <printOptions horizontalCentered="1"/>
  <pageMargins left="0" right="0" top="0.3937007874015748" bottom="0" header="0.31496062992125984" footer="0.31496062992125984"/>
  <pageSetup fitToHeight="1" fitToWidth="1" horizontalDpi="300" verticalDpi="300" orientation="portrait" paperSize="8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79"/>
  <sheetViews>
    <sheetView view="pageBreakPreview" zoomScale="75" zoomScaleSheetLayoutView="75" workbookViewId="0" topLeftCell="A1">
      <selection activeCell="F21" sqref="F21"/>
    </sheetView>
  </sheetViews>
  <sheetFormatPr defaultColWidth="9.140625" defaultRowHeight="12.75"/>
  <cols>
    <col min="1" max="1" width="3.140625" style="161" customWidth="1"/>
    <col min="2" max="2" width="25.28125" style="161" customWidth="1"/>
    <col min="3" max="3" width="10.140625" style="161" customWidth="1"/>
    <col min="4" max="4" width="9.7109375" style="161" customWidth="1"/>
    <col min="5" max="5" width="8.8515625" style="161" customWidth="1"/>
    <col min="6" max="6" width="7.8515625" style="161" customWidth="1"/>
    <col min="7" max="7" width="12.421875" style="161" customWidth="1"/>
    <col min="8" max="8" width="12.28125" style="161" customWidth="1"/>
    <col min="9" max="9" width="9.28125" style="161" customWidth="1"/>
    <col min="10" max="10" width="12.8515625" style="161" customWidth="1"/>
    <col min="11" max="11" width="13.8515625" style="161" customWidth="1"/>
    <col min="12" max="12" width="8.8515625" style="161" customWidth="1"/>
    <col min="13" max="13" width="10.7109375" style="161" customWidth="1"/>
    <col min="14" max="14" width="10.00390625" style="161" customWidth="1"/>
    <col min="15" max="15" width="8.8515625" style="161" customWidth="1"/>
    <col min="16" max="16" width="8.28125" style="161" customWidth="1"/>
    <col min="17" max="16384" width="9.140625" style="161" customWidth="1"/>
  </cols>
  <sheetData>
    <row r="1" spans="1:16" ht="12.75" customHeight="1">
      <c r="A1" s="485"/>
      <c r="B1" s="485"/>
      <c r="C1" s="485"/>
      <c r="D1" s="485"/>
      <c r="E1" s="485"/>
      <c r="F1" s="486"/>
      <c r="G1" s="485"/>
      <c r="H1" s="485"/>
      <c r="I1" s="485"/>
      <c r="J1" s="485"/>
      <c r="K1" s="485"/>
      <c r="L1" s="485"/>
      <c r="M1" s="485"/>
      <c r="N1" s="953" t="s">
        <v>627</v>
      </c>
      <c r="O1" s="953"/>
      <c r="P1" s="485"/>
    </row>
    <row r="2" spans="1:16" ht="12.75">
      <c r="A2" s="485"/>
      <c r="B2" s="485"/>
      <c r="C2" s="485"/>
      <c r="D2" s="485"/>
      <c r="E2" s="485"/>
      <c r="F2" s="486"/>
      <c r="G2" s="485"/>
      <c r="H2" s="485"/>
      <c r="I2" s="485"/>
      <c r="J2" s="485"/>
      <c r="K2" s="485"/>
      <c r="L2" s="485"/>
      <c r="M2" s="485"/>
      <c r="N2" s="487"/>
      <c r="O2" s="485"/>
      <c r="P2" s="485"/>
    </row>
    <row r="3" spans="1:16" ht="20.25">
      <c r="A3" s="954" t="s">
        <v>602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485"/>
    </row>
    <row r="4" spans="2:17" ht="13.5" thickBot="1">
      <c r="B4" s="169"/>
      <c r="C4" s="171"/>
      <c r="D4" s="171"/>
      <c r="E4" s="169"/>
      <c r="F4" s="169"/>
      <c r="G4" s="169"/>
      <c r="H4" s="170"/>
      <c r="I4" s="169"/>
      <c r="J4" s="169"/>
      <c r="K4" s="169"/>
      <c r="L4" s="169"/>
      <c r="M4" s="169"/>
      <c r="N4" s="169"/>
      <c r="O4" s="169"/>
      <c r="P4" s="169"/>
      <c r="Q4" s="169"/>
    </row>
    <row r="5" spans="2:17" ht="21.75" customHeight="1">
      <c r="B5" s="957" t="s">
        <v>370</v>
      </c>
      <c r="C5" s="960" t="s">
        <v>369</v>
      </c>
      <c r="D5" s="955"/>
      <c r="E5" s="955"/>
      <c r="F5" s="955"/>
      <c r="G5" s="852" t="s">
        <v>452</v>
      </c>
      <c r="H5" s="852"/>
      <c r="I5" s="852"/>
      <c r="J5" s="955" t="s">
        <v>453</v>
      </c>
      <c r="K5" s="955"/>
      <c r="L5" s="955"/>
      <c r="M5" s="955" t="s">
        <v>454</v>
      </c>
      <c r="N5" s="955"/>
      <c r="O5" s="955"/>
      <c r="P5" s="956"/>
      <c r="Q5" s="168"/>
    </row>
    <row r="6" spans="2:17" ht="21.75" customHeight="1">
      <c r="B6" s="958"/>
      <c r="C6" s="961" t="s">
        <v>603</v>
      </c>
      <c r="D6" s="963" t="s">
        <v>604</v>
      </c>
      <c r="E6" s="963" t="s">
        <v>368</v>
      </c>
      <c r="F6" s="963" t="s">
        <v>367</v>
      </c>
      <c r="G6" s="963" t="s">
        <v>605</v>
      </c>
      <c r="H6" s="963" t="s">
        <v>606</v>
      </c>
      <c r="I6" s="963" t="s">
        <v>365</v>
      </c>
      <c r="J6" s="963" t="s">
        <v>605</v>
      </c>
      <c r="K6" s="963" t="s">
        <v>606</v>
      </c>
      <c r="L6" s="963" t="s">
        <v>365</v>
      </c>
      <c r="M6" s="963" t="s">
        <v>605</v>
      </c>
      <c r="N6" s="963" t="s">
        <v>606</v>
      </c>
      <c r="O6" s="963" t="s">
        <v>366</v>
      </c>
      <c r="P6" s="965" t="s">
        <v>365</v>
      </c>
      <c r="Q6" s="168"/>
    </row>
    <row r="7" spans="2:17" ht="21.75" customHeight="1">
      <c r="B7" s="958"/>
      <c r="C7" s="961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5"/>
      <c r="Q7" s="168"/>
    </row>
    <row r="8" spans="2:17" ht="21.75" customHeight="1" thickBot="1">
      <c r="B8" s="959"/>
      <c r="C8" s="962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6"/>
      <c r="Q8" s="168"/>
    </row>
    <row r="9" spans="2:17" ht="33" customHeight="1">
      <c r="B9" s="853" t="s">
        <v>364</v>
      </c>
      <c r="C9" s="785">
        <f>SUM(C11:C18)</f>
        <v>615.4000000000001</v>
      </c>
      <c r="D9" s="786">
        <f>SUM(D11:D18)</f>
        <v>590.061</v>
      </c>
      <c r="E9" s="786">
        <f aca="true" t="shared" si="0" ref="E9:E18">D9-C9</f>
        <v>-25.339000000000055</v>
      </c>
      <c r="F9" s="733">
        <f aca="true" t="shared" si="1" ref="F9:F18">D9/C9*100</f>
        <v>95.88251543711407</v>
      </c>
      <c r="G9" s="732">
        <f>SUM(G11:G18)</f>
        <v>192930217</v>
      </c>
      <c r="H9" s="732">
        <f>SUM(H11:H18)</f>
        <v>192884667</v>
      </c>
      <c r="I9" s="733">
        <f aca="true" t="shared" si="2" ref="I9:I18">H9/G9*100</f>
        <v>99.97639042721856</v>
      </c>
      <c r="J9" s="732">
        <f>SUM(J11:J18)</f>
        <v>110489991</v>
      </c>
      <c r="K9" s="732">
        <f>SUM(K11:K18)</f>
        <v>104269403</v>
      </c>
      <c r="L9" s="733">
        <f aca="true" t="shared" si="3" ref="L9:L18">K9/J9*100</f>
        <v>94.36999863634708</v>
      </c>
      <c r="M9" s="732">
        <f>G9/12/C9</f>
        <v>26125.31375257285</v>
      </c>
      <c r="N9" s="732">
        <f>H9/12/D9</f>
        <v>27240.78061420768</v>
      </c>
      <c r="O9" s="732">
        <f>N9-M9</f>
        <v>1115.4668616348317</v>
      </c>
      <c r="P9" s="780">
        <f>N9/M9*100</f>
        <v>104.26967833649454</v>
      </c>
      <c r="Q9" s="169"/>
    </row>
    <row r="10" spans="2:17" s="162" customFormat="1" ht="17.25" customHeight="1">
      <c r="B10" s="854" t="s">
        <v>363</v>
      </c>
      <c r="C10" s="734"/>
      <c r="D10" s="735"/>
      <c r="E10" s="736"/>
      <c r="F10" s="779"/>
      <c r="G10" s="738"/>
      <c r="H10" s="738"/>
      <c r="I10" s="737"/>
      <c r="J10" s="738"/>
      <c r="K10" s="739"/>
      <c r="L10" s="779"/>
      <c r="M10" s="740"/>
      <c r="N10" s="740"/>
      <c r="O10" s="740"/>
      <c r="P10" s="781"/>
      <c r="Q10" s="168"/>
    </row>
    <row r="11" spans="2:17" ht="18.75" customHeight="1">
      <c r="B11" s="855" t="s">
        <v>18</v>
      </c>
      <c r="C11" s="741">
        <v>98.23</v>
      </c>
      <c r="D11" s="742">
        <v>94.25</v>
      </c>
      <c r="E11" s="777">
        <f t="shared" si="0"/>
        <v>-3.980000000000004</v>
      </c>
      <c r="F11" s="777">
        <f t="shared" si="1"/>
        <v>95.94828463809426</v>
      </c>
      <c r="G11" s="743">
        <v>27310600</v>
      </c>
      <c r="H11" s="743">
        <v>27282558</v>
      </c>
      <c r="I11" s="777">
        <f t="shared" si="2"/>
        <v>99.89732191896186</v>
      </c>
      <c r="J11" s="743">
        <v>1086000</v>
      </c>
      <c r="K11" s="743">
        <v>1086000</v>
      </c>
      <c r="L11" s="777">
        <f t="shared" si="3"/>
        <v>100</v>
      </c>
      <c r="M11" s="744">
        <f aca="true" t="shared" si="4" ref="M11:N18">G11/12/C11</f>
        <v>23168.923275306253</v>
      </c>
      <c r="N11" s="744">
        <f t="shared" si="4"/>
        <v>24122.50928381963</v>
      </c>
      <c r="O11" s="744">
        <f aca="true" t="shared" si="5" ref="O11:O18">N11-M11</f>
        <v>953.5860085133754</v>
      </c>
      <c r="P11" s="782">
        <f aca="true" t="shared" si="6" ref="P11:P18">N11/M11*100</f>
        <v>104.11579768805967</v>
      </c>
      <c r="Q11" s="167"/>
    </row>
    <row r="12" spans="2:17" s="164" customFormat="1" ht="18.75" customHeight="1">
      <c r="B12" s="855" t="s">
        <v>194</v>
      </c>
      <c r="C12" s="741">
        <v>138.06</v>
      </c>
      <c r="D12" s="742">
        <v>131.78</v>
      </c>
      <c r="E12" s="777">
        <f t="shared" si="0"/>
        <v>-6.280000000000001</v>
      </c>
      <c r="F12" s="777">
        <f t="shared" si="1"/>
        <v>95.45125307837172</v>
      </c>
      <c r="G12" s="743">
        <v>46195350</v>
      </c>
      <c r="H12" s="743">
        <v>46195350</v>
      </c>
      <c r="I12" s="777">
        <f t="shared" si="2"/>
        <v>100</v>
      </c>
      <c r="J12" s="743">
        <v>45942275</v>
      </c>
      <c r="K12" s="743">
        <v>44035928</v>
      </c>
      <c r="L12" s="777">
        <f t="shared" si="3"/>
        <v>95.85056029550125</v>
      </c>
      <c r="M12" s="744">
        <f t="shared" si="4"/>
        <v>27883.61944082283</v>
      </c>
      <c r="N12" s="744">
        <f t="shared" si="4"/>
        <v>29212.418424647138</v>
      </c>
      <c r="O12" s="744">
        <f t="shared" si="5"/>
        <v>1328.7989838243084</v>
      </c>
      <c r="P12" s="782">
        <f t="shared" si="6"/>
        <v>104.76551828805584</v>
      </c>
      <c r="Q12" s="165"/>
    </row>
    <row r="13" spans="2:23" ht="18.75" customHeight="1">
      <c r="B13" s="855" t="s">
        <v>195</v>
      </c>
      <c r="C13" s="741">
        <v>46.04</v>
      </c>
      <c r="D13" s="742">
        <v>45.267</v>
      </c>
      <c r="E13" s="777">
        <f t="shared" si="0"/>
        <v>-0.7729999999999961</v>
      </c>
      <c r="F13" s="777">
        <f t="shared" si="1"/>
        <v>98.32102519548219</v>
      </c>
      <c r="G13" s="743">
        <v>15628221</v>
      </c>
      <c r="H13" s="743">
        <v>15628221</v>
      </c>
      <c r="I13" s="777">
        <f t="shared" si="2"/>
        <v>100</v>
      </c>
      <c r="J13" s="743">
        <v>2278000</v>
      </c>
      <c r="K13" s="743">
        <v>2277650</v>
      </c>
      <c r="L13" s="777">
        <f t="shared" si="3"/>
        <v>99.9846356453029</v>
      </c>
      <c r="M13" s="744">
        <f t="shared" si="4"/>
        <v>28287.396828844485</v>
      </c>
      <c r="N13" s="744">
        <f t="shared" si="4"/>
        <v>28770.445357545228</v>
      </c>
      <c r="O13" s="744">
        <f t="shared" si="5"/>
        <v>483.0485287007432</v>
      </c>
      <c r="P13" s="782">
        <f t="shared" si="6"/>
        <v>101.70764574634943</v>
      </c>
      <c r="Q13" s="165"/>
      <c r="R13" s="164"/>
      <c r="S13" s="164"/>
      <c r="T13" s="164"/>
      <c r="U13" s="164"/>
      <c r="V13" s="164"/>
      <c r="W13" s="164"/>
    </row>
    <row r="14" spans="2:17" s="164" customFormat="1" ht="18.75" customHeight="1">
      <c r="B14" s="855" t="s">
        <v>119</v>
      </c>
      <c r="C14" s="741">
        <v>145.39</v>
      </c>
      <c r="D14" s="742">
        <v>136.95</v>
      </c>
      <c r="E14" s="777">
        <f t="shared" si="0"/>
        <v>-8.439999999999998</v>
      </c>
      <c r="F14" s="777">
        <f t="shared" si="1"/>
        <v>94.1949239975239</v>
      </c>
      <c r="G14" s="743">
        <v>40021022</v>
      </c>
      <c r="H14" s="743">
        <v>40003514</v>
      </c>
      <c r="I14" s="777">
        <f t="shared" si="2"/>
        <v>99.95625299124046</v>
      </c>
      <c r="J14" s="743">
        <v>1256899</v>
      </c>
      <c r="K14" s="743">
        <v>989799</v>
      </c>
      <c r="L14" s="777">
        <f t="shared" si="3"/>
        <v>78.74928693554534</v>
      </c>
      <c r="M14" s="744">
        <f t="shared" si="4"/>
        <v>22938.889653116905</v>
      </c>
      <c r="N14" s="744">
        <f t="shared" si="4"/>
        <v>24341.921625897532</v>
      </c>
      <c r="O14" s="744">
        <f t="shared" si="5"/>
        <v>1403.0319727806273</v>
      </c>
      <c r="P14" s="782">
        <f t="shared" si="6"/>
        <v>106.11639008686711</v>
      </c>
      <c r="Q14" s="165"/>
    </row>
    <row r="15" spans="2:23" ht="18.75" customHeight="1">
      <c r="B15" s="855" t="s">
        <v>196</v>
      </c>
      <c r="C15" s="741">
        <v>105.68</v>
      </c>
      <c r="D15" s="742">
        <v>102.129</v>
      </c>
      <c r="E15" s="777">
        <f t="shared" si="0"/>
        <v>-3.551000000000002</v>
      </c>
      <c r="F15" s="777">
        <f t="shared" si="1"/>
        <v>96.6398561695685</v>
      </c>
      <c r="G15" s="743">
        <v>34771609</v>
      </c>
      <c r="H15" s="743">
        <v>34771609</v>
      </c>
      <c r="I15" s="777">
        <f t="shared" si="2"/>
        <v>100</v>
      </c>
      <c r="J15" s="743">
        <v>23966100</v>
      </c>
      <c r="K15" s="743">
        <v>23929900</v>
      </c>
      <c r="L15" s="777">
        <f t="shared" si="3"/>
        <v>99.84895331322159</v>
      </c>
      <c r="M15" s="744">
        <f t="shared" si="4"/>
        <v>27418.944770375976</v>
      </c>
      <c r="N15" s="744">
        <f t="shared" si="4"/>
        <v>28372.29467960455</v>
      </c>
      <c r="O15" s="744">
        <f t="shared" si="5"/>
        <v>953.3499092285747</v>
      </c>
      <c r="P15" s="782">
        <f t="shared" si="6"/>
        <v>103.47697519803386</v>
      </c>
      <c r="Q15" s="165"/>
      <c r="R15" s="164"/>
      <c r="S15" s="164"/>
      <c r="T15" s="164"/>
      <c r="U15" s="164"/>
      <c r="V15" s="164"/>
      <c r="W15" s="164"/>
    </row>
    <row r="16" spans="2:17" s="164" customFormat="1" ht="18.75" customHeight="1">
      <c r="B16" s="855" t="s">
        <v>120</v>
      </c>
      <c r="C16" s="741">
        <v>70</v>
      </c>
      <c r="D16" s="742">
        <v>67.618</v>
      </c>
      <c r="E16" s="777">
        <f t="shared" si="0"/>
        <v>-2.382000000000005</v>
      </c>
      <c r="F16" s="777">
        <f t="shared" si="1"/>
        <v>96.59714285714284</v>
      </c>
      <c r="G16" s="743">
        <v>24167386</v>
      </c>
      <c r="H16" s="743">
        <v>24167386</v>
      </c>
      <c r="I16" s="777">
        <f t="shared" si="2"/>
        <v>100</v>
      </c>
      <c r="J16" s="743">
        <v>34211535</v>
      </c>
      <c r="K16" s="743">
        <v>30201199</v>
      </c>
      <c r="L16" s="777">
        <f t="shared" si="3"/>
        <v>88.27782500843648</v>
      </c>
      <c r="M16" s="744">
        <f t="shared" si="4"/>
        <v>28770.697619047616</v>
      </c>
      <c r="N16" s="744">
        <f t="shared" si="4"/>
        <v>29784.21179764757</v>
      </c>
      <c r="O16" s="744">
        <f t="shared" si="5"/>
        <v>1013.5141785999549</v>
      </c>
      <c r="P16" s="782">
        <f t="shared" si="6"/>
        <v>103.5227306338549</v>
      </c>
      <c r="Q16" s="165"/>
    </row>
    <row r="17" spans="2:23" s="166" customFormat="1" ht="18.75" customHeight="1">
      <c r="B17" s="855" t="s">
        <v>621</v>
      </c>
      <c r="C17" s="741">
        <v>6</v>
      </c>
      <c r="D17" s="742">
        <v>6.067</v>
      </c>
      <c r="E17" s="777">
        <f t="shared" si="0"/>
        <v>0.06700000000000017</v>
      </c>
      <c r="F17" s="777">
        <f t="shared" si="1"/>
        <v>101.11666666666667</v>
      </c>
      <c r="G17" s="743">
        <v>2015950</v>
      </c>
      <c r="H17" s="743">
        <v>2015950</v>
      </c>
      <c r="I17" s="777">
        <f t="shared" si="2"/>
        <v>100</v>
      </c>
      <c r="J17" s="743">
        <v>965000</v>
      </c>
      <c r="K17" s="743">
        <v>965000</v>
      </c>
      <c r="L17" s="777">
        <f t="shared" si="3"/>
        <v>100</v>
      </c>
      <c r="M17" s="744">
        <f t="shared" si="4"/>
        <v>27999.30555555556</v>
      </c>
      <c r="N17" s="744">
        <f t="shared" si="4"/>
        <v>27690.099445085434</v>
      </c>
      <c r="O17" s="744">
        <f t="shared" si="5"/>
        <v>-309.20611047012426</v>
      </c>
      <c r="P17" s="782">
        <f t="shared" si="6"/>
        <v>98.8956650733476</v>
      </c>
      <c r="Q17" s="165"/>
      <c r="R17" s="164"/>
      <c r="S17" s="164"/>
      <c r="T17" s="164"/>
      <c r="U17" s="164"/>
      <c r="V17" s="164"/>
      <c r="W17" s="164"/>
    </row>
    <row r="18" spans="2:17" s="164" customFormat="1" ht="18.75" customHeight="1" thickBot="1">
      <c r="B18" s="856" t="s">
        <v>80</v>
      </c>
      <c r="C18" s="745">
        <v>6</v>
      </c>
      <c r="D18" s="746">
        <v>6</v>
      </c>
      <c r="E18" s="778">
        <f t="shared" si="0"/>
        <v>0</v>
      </c>
      <c r="F18" s="778">
        <f t="shared" si="1"/>
        <v>100</v>
      </c>
      <c r="G18" s="747">
        <v>2820079</v>
      </c>
      <c r="H18" s="747">
        <f>2838386-18307</f>
        <v>2820079</v>
      </c>
      <c r="I18" s="778">
        <f t="shared" si="2"/>
        <v>100</v>
      </c>
      <c r="J18" s="747">
        <v>784182</v>
      </c>
      <c r="K18" s="747">
        <v>783927</v>
      </c>
      <c r="L18" s="778">
        <f t="shared" si="3"/>
        <v>99.96748203860838</v>
      </c>
      <c r="M18" s="748">
        <f t="shared" si="4"/>
        <v>39167.76388888889</v>
      </c>
      <c r="N18" s="748">
        <f t="shared" si="4"/>
        <v>39167.76388888889</v>
      </c>
      <c r="O18" s="748">
        <f t="shared" si="5"/>
        <v>0</v>
      </c>
      <c r="P18" s="783">
        <f t="shared" si="6"/>
        <v>100</v>
      </c>
      <c r="Q18" s="165"/>
    </row>
    <row r="19" spans="6:23" s="162" customFormat="1" ht="15.75">
      <c r="F19" s="163"/>
      <c r="Q19" s="165"/>
      <c r="R19" s="164"/>
      <c r="S19" s="164"/>
      <c r="T19" s="164"/>
      <c r="U19" s="164"/>
      <c r="V19" s="164"/>
      <c r="W19" s="164"/>
    </row>
    <row r="20" spans="6:23" s="162" customFormat="1" ht="15.75">
      <c r="F20" s="163"/>
      <c r="Q20" s="165"/>
      <c r="R20" s="164"/>
      <c r="S20" s="164"/>
      <c r="T20" s="164"/>
      <c r="U20" s="164"/>
      <c r="V20" s="164"/>
      <c r="W20" s="164"/>
    </row>
    <row r="21" spans="6:23" s="162" customFormat="1" ht="15.75">
      <c r="F21" s="163"/>
      <c r="H21" s="784"/>
      <c r="Q21" s="165"/>
      <c r="R21" s="164"/>
      <c r="S21" s="164"/>
      <c r="T21" s="164"/>
      <c r="U21" s="164"/>
      <c r="V21" s="164"/>
      <c r="W21" s="164"/>
    </row>
    <row r="22" spans="6:10" s="162" customFormat="1" ht="14.25">
      <c r="F22" s="163"/>
      <c r="H22" s="784"/>
      <c r="J22" s="784"/>
    </row>
    <row r="23" s="162" customFormat="1" ht="14.25">
      <c r="F23" s="163"/>
    </row>
    <row r="24" s="162" customFormat="1" ht="14.25">
      <c r="F24" s="163"/>
    </row>
    <row r="25" s="162" customFormat="1" ht="14.25">
      <c r="F25" s="163"/>
    </row>
    <row r="26" s="162" customFormat="1" ht="14.25">
      <c r="F26" s="163"/>
    </row>
    <row r="27" s="162" customFormat="1" ht="14.25">
      <c r="F27" s="163"/>
    </row>
    <row r="28" s="162" customFormat="1" ht="14.25">
      <c r="F28" s="163"/>
    </row>
    <row r="29" s="162" customFormat="1" ht="14.25">
      <c r="F29" s="163"/>
    </row>
    <row r="30" s="162" customFormat="1" ht="14.25">
      <c r="F30" s="163"/>
    </row>
    <row r="31" s="162" customFormat="1" ht="14.25">
      <c r="F31" s="163"/>
    </row>
    <row r="32" s="162" customFormat="1" ht="14.25">
      <c r="F32" s="163"/>
    </row>
    <row r="33" s="162" customFormat="1" ht="14.25">
      <c r="F33" s="163"/>
    </row>
    <row r="34" s="162" customFormat="1" ht="14.25">
      <c r="F34" s="163"/>
    </row>
    <row r="35" s="162" customFormat="1" ht="14.25">
      <c r="F35" s="163"/>
    </row>
    <row r="36" s="162" customFormat="1" ht="14.25">
      <c r="F36" s="163"/>
    </row>
    <row r="37" s="162" customFormat="1" ht="14.25">
      <c r="F37" s="163"/>
    </row>
    <row r="38" s="162" customFormat="1" ht="14.25">
      <c r="F38" s="163"/>
    </row>
    <row r="39" s="162" customFormat="1" ht="14.25">
      <c r="F39" s="163"/>
    </row>
    <row r="40" s="162" customFormat="1" ht="14.25">
      <c r="F40" s="163"/>
    </row>
    <row r="41" s="162" customFormat="1" ht="14.25">
      <c r="F41" s="163"/>
    </row>
    <row r="42" s="162" customFormat="1" ht="14.25">
      <c r="F42" s="163"/>
    </row>
    <row r="43" s="162" customFormat="1" ht="14.25">
      <c r="F43" s="163"/>
    </row>
    <row r="44" s="162" customFormat="1" ht="14.25">
      <c r="F44" s="163"/>
    </row>
    <row r="45" s="162" customFormat="1" ht="14.25">
      <c r="F45" s="163"/>
    </row>
    <row r="46" s="162" customFormat="1" ht="14.25">
      <c r="F46" s="163"/>
    </row>
    <row r="47" s="162" customFormat="1" ht="14.25">
      <c r="F47" s="163"/>
    </row>
    <row r="48" s="162" customFormat="1" ht="14.25">
      <c r="F48" s="163"/>
    </row>
    <row r="49" s="162" customFormat="1" ht="14.25">
      <c r="F49" s="163"/>
    </row>
    <row r="50" s="162" customFormat="1" ht="14.25">
      <c r="F50" s="163"/>
    </row>
    <row r="51" s="162" customFormat="1" ht="14.25">
      <c r="F51" s="163"/>
    </row>
    <row r="52" s="162" customFormat="1" ht="14.25">
      <c r="F52" s="163"/>
    </row>
    <row r="53" s="162" customFormat="1" ht="14.25">
      <c r="F53" s="163"/>
    </row>
    <row r="54" s="162" customFormat="1" ht="14.25">
      <c r="F54" s="163"/>
    </row>
    <row r="55" s="162" customFormat="1" ht="14.25">
      <c r="F55" s="163"/>
    </row>
    <row r="56" s="162" customFormat="1" ht="14.25">
      <c r="F56" s="163"/>
    </row>
    <row r="57" s="162" customFormat="1" ht="14.25">
      <c r="F57" s="163"/>
    </row>
    <row r="58" s="162" customFormat="1" ht="14.25">
      <c r="F58" s="163"/>
    </row>
    <row r="59" s="162" customFormat="1" ht="14.25">
      <c r="F59" s="163"/>
    </row>
    <row r="60" s="162" customFormat="1" ht="14.25">
      <c r="F60" s="163"/>
    </row>
    <row r="61" s="162" customFormat="1" ht="14.25">
      <c r="F61" s="163"/>
    </row>
    <row r="62" s="162" customFormat="1" ht="14.25">
      <c r="F62" s="163"/>
    </row>
    <row r="63" s="162" customFormat="1" ht="14.25">
      <c r="F63" s="163"/>
    </row>
    <row r="64" s="162" customFormat="1" ht="14.25">
      <c r="F64" s="163"/>
    </row>
    <row r="65" s="162" customFormat="1" ht="14.25">
      <c r="F65" s="163"/>
    </row>
    <row r="66" s="162" customFormat="1" ht="14.25">
      <c r="F66" s="163"/>
    </row>
    <row r="67" s="162" customFormat="1" ht="14.25">
      <c r="F67" s="163"/>
    </row>
    <row r="68" s="162" customFormat="1" ht="14.25">
      <c r="F68" s="163"/>
    </row>
    <row r="69" s="162" customFormat="1" ht="14.25">
      <c r="F69" s="163"/>
    </row>
    <row r="70" s="162" customFormat="1" ht="14.25">
      <c r="F70" s="163"/>
    </row>
    <row r="71" s="162" customFormat="1" ht="14.25">
      <c r="F71" s="163"/>
    </row>
    <row r="72" s="162" customFormat="1" ht="14.25">
      <c r="F72" s="163"/>
    </row>
    <row r="73" s="162" customFormat="1" ht="14.25">
      <c r="F73" s="163"/>
    </row>
    <row r="74" s="162" customFormat="1" ht="14.25">
      <c r="F74" s="163"/>
    </row>
    <row r="75" s="162" customFormat="1" ht="14.25">
      <c r="F75" s="163"/>
    </row>
    <row r="76" s="162" customFormat="1" ht="14.25">
      <c r="F76" s="163"/>
    </row>
    <row r="77" s="162" customFormat="1" ht="14.25">
      <c r="F77" s="163"/>
    </row>
    <row r="78" s="162" customFormat="1" ht="14.25">
      <c r="F78" s="163"/>
    </row>
    <row r="79" s="162" customFormat="1" ht="14.25">
      <c r="F79" s="163"/>
    </row>
    <row r="80" s="162" customFormat="1" ht="14.25">
      <c r="F80" s="163"/>
    </row>
    <row r="81" s="162" customFormat="1" ht="14.25">
      <c r="F81" s="163"/>
    </row>
    <row r="82" s="162" customFormat="1" ht="14.25">
      <c r="F82" s="163"/>
    </row>
    <row r="83" s="162" customFormat="1" ht="14.25">
      <c r="F83" s="163"/>
    </row>
    <row r="84" s="162" customFormat="1" ht="14.25">
      <c r="F84" s="163"/>
    </row>
    <row r="85" s="162" customFormat="1" ht="14.25">
      <c r="F85" s="163"/>
    </row>
    <row r="86" s="162" customFormat="1" ht="14.25">
      <c r="F86" s="163"/>
    </row>
    <row r="87" s="162" customFormat="1" ht="14.25">
      <c r="F87" s="163"/>
    </row>
    <row r="88" s="162" customFormat="1" ht="14.25">
      <c r="F88" s="163"/>
    </row>
    <row r="89" s="162" customFormat="1" ht="14.25">
      <c r="F89" s="163"/>
    </row>
    <row r="90" s="162" customFormat="1" ht="14.25">
      <c r="F90" s="163"/>
    </row>
    <row r="91" s="162" customFormat="1" ht="14.25">
      <c r="F91" s="163"/>
    </row>
    <row r="92" s="162" customFormat="1" ht="14.25">
      <c r="F92" s="163"/>
    </row>
    <row r="93" s="162" customFormat="1" ht="14.25">
      <c r="F93" s="163"/>
    </row>
    <row r="94" s="162" customFormat="1" ht="14.25">
      <c r="F94" s="163"/>
    </row>
    <row r="95" s="162" customFormat="1" ht="14.25">
      <c r="F95" s="163"/>
    </row>
    <row r="96" s="162" customFormat="1" ht="14.25">
      <c r="F96" s="163"/>
    </row>
    <row r="97" s="162" customFormat="1" ht="14.25">
      <c r="F97" s="163"/>
    </row>
    <row r="98" s="162" customFormat="1" ht="14.25">
      <c r="F98" s="163"/>
    </row>
    <row r="99" s="162" customFormat="1" ht="14.25">
      <c r="F99" s="163"/>
    </row>
    <row r="100" s="162" customFormat="1" ht="14.25">
      <c r="F100" s="163"/>
    </row>
    <row r="101" s="162" customFormat="1" ht="14.25">
      <c r="F101" s="163"/>
    </row>
    <row r="102" s="162" customFormat="1" ht="14.25">
      <c r="F102" s="163"/>
    </row>
    <row r="103" s="162" customFormat="1" ht="14.25">
      <c r="F103" s="163"/>
    </row>
    <row r="104" s="162" customFormat="1" ht="14.25">
      <c r="F104" s="163"/>
    </row>
    <row r="105" s="162" customFormat="1" ht="14.25">
      <c r="F105" s="163"/>
    </row>
    <row r="106" s="162" customFormat="1" ht="14.25">
      <c r="F106" s="163"/>
    </row>
    <row r="107" s="162" customFormat="1" ht="14.25">
      <c r="F107" s="163"/>
    </row>
    <row r="108" s="162" customFormat="1" ht="14.25">
      <c r="F108" s="163"/>
    </row>
    <row r="109" s="162" customFormat="1" ht="14.25">
      <c r="F109" s="163"/>
    </row>
    <row r="110" s="162" customFormat="1" ht="14.25">
      <c r="F110" s="163"/>
    </row>
    <row r="111" s="162" customFormat="1" ht="14.25">
      <c r="F111" s="163"/>
    </row>
    <row r="112" s="162" customFormat="1" ht="14.25">
      <c r="F112" s="163"/>
    </row>
    <row r="113" s="162" customFormat="1" ht="14.25">
      <c r="F113" s="163"/>
    </row>
    <row r="114" s="162" customFormat="1" ht="14.25">
      <c r="F114" s="163"/>
    </row>
    <row r="115" s="162" customFormat="1" ht="14.25">
      <c r="F115" s="163"/>
    </row>
    <row r="116" s="162" customFormat="1" ht="14.25">
      <c r="F116" s="163"/>
    </row>
    <row r="117" s="162" customFormat="1" ht="14.25">
      <c r="F117" s="163"/>
    </row>
    <row r="118" s="162" customFormat="1" ht="14.25">
      <c r="F118" s="163"/>
    </row>
    <row r="119" s="162" customFormat="1" ht="14.25">
      <c r="F119" s="163"/>
    </row>
    <row r="120" s="162" customFormat="1" ht="14.25">
      <c r="F120" s="163"/>
    </row>
    <row r="121" s="162" customFormat="1" ht="14.25">
      <c r="F121" s="163"/>
    </row>
    <row r="122" s="162" customFormat="1" ht="14.25">
      <c r="F122" s="163"/>
    </row>
    <row r="123" s="162" customFormat="1" ht="14.25">
      <c r="F123" s="163"/>
    </row>
    <row r="124" s="162" customFormat="1" ht="14.25">
      <c r="F124" s="163"/>
    </row>
    <row r="125" s="162" customFormat="1" ht="14.25">
      <c r="F125" s="163"/>
    </row>
    <row r="126" s="162" customFormat="1" ht="14.25">
      <c r="F126" s="163"/>
    </row>
    <row r="127" s="162" customFormat="1" ht="14.25">
      <c r="F127" s="163"/>
    </row>
    <row r="128" s="162" customFormat="1" ht="14.25">
      <c r="F128" s="163"/>
    </row>
    <row r="129" s="162" customFormat="1" ht="14.25">
      <c r="F129" s="163"/>
    </row>
    <row r="130" s="162" customFormat="1" ht="14.25">
      <c r="F130" s="163"/>
    </row>
    <row r="131" s="162" customFormat="1" ht="14.25">
      <c r="F131" s="163"/>
    </row>
    <row r="132" s="162" customFormat="1" ht="14.25">
      <c r="F132" s="163"/>
    </row>
    <row r="133" s="162" customFormat="1" ht="14.25">
      <c r="F133" s="163"/>
    </row>
    <row r="134" s="162" customFormat="1" ht="14.25">
      <c r="F134" s="163"/>
    </row>
    <row r="135" s="162" customFormat="1" ht="14.25">
      <c r="F135" s="163"/>
    </row>
    <row r="136" s="162" customFormat="1" ht="14.25">
      <c r="F136" s="163"/>
    </row>
    <row r="137" s="162" customFormat="1" ht="14.25">
      <c r="F137" s="163"/>
    </row>
    <row r="138" s="162" customFormat="1" ht="14.25">
      <c r="F138" s="163"/>
    </row>
    <row r="139" s="162" customFormat="1" ht="14.25">
      <c r="F139" s="163"/>
    </row>
    <row r="140" s="162" customFormat="1" ht="14.25">
      <c r="F140" s="163"/>
    </row>
    <row r="141" s="162" customFormat="1" ht="14.25">
      <c r="F141" s="163"/>
    </row>
    <row r="142" s="162" customFormat="1" ht="14.25">
      <c r="F142" s="163"/>
    </row>
    <row r="143" s="162" customFormat="1" ht="14.25">
      <c r="F143" s="163"/>
    </row>
    <row r="144" s="162" customFormat="1" ht="14.25">
      <c r="F144" s="163"/>
    </row>
    <row r="145" s="162" customFormat="1" ht="14.25">
      <c r="F145" s="163"/>
    </row>
    <row r="146" s="162" customFormat="1" ht="14.25">
      <c r="F146" s="163"/>
    </row>
    <row r="147" s="162" customFormat="1" ht="14.25">
      <c r="F147" s="163"/>
    </row>
    <row r="148" s="162" customFormat="1" ht="14.25">
      <c r="F148" s="163"/>
    </row>
    <row r="149" s="162" customFormat="1" ht="14.25">
      <c r="F149" s="163"/>
    </row>
    <row r="150" s="162" customFormat="1" ht="14.25">
      <c r="F150" s="163"/>
    </row>
    <row r="151" s="162" customFormat="1" ht="14.25">
      <c r="F151" s="163"/>
    </row>
    <row r="152" s="162" customFormat="1" ht="14.25">
      <c r="F152" s="163"/>
    </row>
    <row r="153" s="162" customFormat="1" ht="14.25">
      <c r="F153" s="163"/>
    </row>
    <row r="154" s="162" customFormat="1" ht="14.25">
      <c r="F154" s="163"/>
    </row>
    <row r="155" s="162" customFormat="1" ht="14.25">
      <c r="F155" s="163"/>
    </row>
    <row r="156" s="162" customFormat="1" ht="14.25">
      <c r="F156" s="163"/>
    </row>
    <row r="157" s="162" customFormat="1" ht="14.25">
      <c r="F157" s="163"/>
    </row>
    <row r="158" s="162" customFormat="1" ht="14.25">
      <c r="F158" s="163"/>
    </row>
    <row r="159" s="162" customFormat="1" ht="14.25">
      <c r="F159" s="163"/>
    </row>
    <row r="160" s="162" customFormat="1" ht="14.25">
      <c r="F160" s="163"/>
    </row>
    <row r="161" s="162" customFormat="1" ht="14.25">
      <c r="F161" s="163"/>
    </row>
    <row r="162" s="162" customFormat="1" ht="14.25">
      <c r="F162" s="163"/>
    </row>
    <row r="163" s="162" customFormat="1" ht="14.25">
      <c r="F163" s="163"/>
    </row>
    <row r="164" s="162" customFormat="1" ht="14.25">
      <c r="F164" s="163"/>
    </row>
    <row r="165" s="162" customFormat="1" ht="14.25">
      <c r="F165" s="163"/>
    </row>
    <row r="166" s="162" customFormat="1" ht="14.25">
      <c r="F166" s="163"/>
    </row>
    <row r="167" s="162" customFormat="1" ht="14.25">
      <c r="F167" s="163"/>
    </row>
    <row r="168" s="162" customFormat="1" ht="14.25">
      <c r="F168" s="163"/>
    </row>
    <row r="169" s="162" customFormat="1" ht="14.25">
      <c r="F169" s="163"/>
    </row>
    <row r="170" s="162" customFormat="1" ht="14.25">
      <c r="F170" s="163"/>
    </row>
    <row r="171" s="162" customFormat="1" ht="14.25">
      <c r="F171" s="163"/>
    </row>
    <row r="172" s="162" customFormat="1" ht="14.25">
      <c r="F172" s="163"/>
    </row>
    <row r="173" s="162" customFormat="1" ht="14.25">
      <c r="F173" s="163"/>
    </row>
    <row r="174" s="162" customFormat="1" ht="14.25">
      <c r="F174" s="163"/>
    </row>
    <row r="175" s="162" customFormat="1" ht="14.25">
      <c r="F175" s="163"/>
    </row>
    <row r="176" s="162" customFormat="1" ht="14.25">
      <c r="F176" s="163"/>
    </row>
    <row r="177" s="162" customFormat="1" ht="14.25">
      <c r="F177" s="163"/>
    </row>
    <row r="178" s="162" customFormat="1" ht="14.25">
      <c r="F178" s="163"/>
    </row>
    <row r="179" s="162" customFormat="1" ht="14.25">
      <c r="F179" s="163"/>
    </row>
    <row r="180" s="162" customFormat="1" ht="14.25">
      <c r="F180" s="163"/>
    </row>
    <row r="181" s="162" customFormat="1" ht="14.25">
      <c r="F181" s="163"/>
    </row>
    <row r="182" s="162" customFormat="1" ht="14.25">
      <c r="F182" s="163"/>
    </row>
    <row r="183" s="162" customFormat="1" ht="14.25">
      <c r="F183" s="163"/>
    </row>
    <row r="184" s="162" customFormat="1" ht="14.25">
      <c r="F184" s="163"/>
    </row>
    <row r="185" s="162" customFormat="1" ht="14.25">
      <c r="F185" s="163"/>
    </row>
    <row r="186" s="162" customFormat="1" ht="14.25">
      <c r="F186" s="163"/>
    </row>
    <row r="187" s="162" customFormat="1" ht="14.25">
      <c r="F187" s="163"/>
    </row>
    <row r="188" s="162" customFormat="1" ht="14.25">
      <c r="F188" s="163"/>
    </row>
    <row r="189" s="162" customFormat="1" ht="14.25">
      <c r="F189" s="163"/>
    </row>
    <row r="190" s="162" customFormat="1" ht="14.25">
      <c r="F190" s="163"/>
    </row>
    <row r="191" s="162" customFormat="1" ht="14.25">
      <c r="F191" s="163"/>
    </row>
    <row r="192" s="162" customFormat="1" ht="14.25">
      <c r="F192" s="163"/>
    </row>
    <row r="193" s="162" customFormat="1" ht="14.25">
      <c r="F193" s="163"/>
    </row>
    <row r="194" s="162" customFormat="1" ht="14.25">
      <c r="F194" s="163"/>
    </row>
    <row r="195" s="162" customFormat="1" ht="14.25">
      <c r="F195" s="163"/>
    </row>
    <row r="196" s="162" customFormat="1" ht="14.25">
      <c r="F196" s="163"/>
    </row>
    <row r="197" s="162" customFormat="1" ht="14.25">
      <c r="F197" s="163"/>
    </row>
    <row r="198" s="162" customFormat="1" ht="14.25">
      <c r="F198" s="163"/>
    </row>
    <row r="199" s="162" customFormat="1" ht="14.25">
      <c r="F199" s="163"/>
    </row>
    <row r="200" s="162" customFormat="1" ht="14.25">
      <c r="F200" s="163"/>
    </row>
    <row r="201" s="162" customFormat="1" ht="14.25">
      <c r="F201" s="163"/>
    </row>
    <row r="202" s="162" customFormat="1" ht="14.25">
      <c r="F202" s="163"/>
    </row>
    <row r="203" s="162" customFormat="1" ht="14.25">
      <c r="F203" s="163"/>
    </row>
    <row r="204" s="162" customFormat="1" ht="14.25">
      <c r="F204" s="163"/>
    </row>
    <row r="205" s="162" customFormat="1" ht="14.25">
      <c r="F205" s="163"/>
    </row>
    <row r="206" s="162" customFormat="1" ht="14.25">
      <c r="F206" s="163"/>
    </row>
    <row r="207" s="162" customFormat="1" ht="14.25">
      <c r="F207" s="163"/>
    </row>
    <row r="208" s="162" customFormat="1" ht="14.25">
      <c r="F208" s="163"/>
    </row>
    <row r="209" s="162" customFormat="1" ht="14.25">
      <c r="F209" s="163"/>
    </row>
    <row r="210" s="162" customFormat="1" ht="14.25">
      <c r="F210" s="163"/>
    </row>
    <row r="211" s="162" customFormat="1" ht="14.25">
      <c r="F211" s="163"/>
    </row>
    <row r="212" s="162" customFormat="1" ht="14.25">
      <c r="F212" s="163"/>
    </row>
    <row r="213" s="162" customFormat="1" ht="14.25">
      <c r="F213" s="163"/>
    </row>
    <row r="214" s="162" customFormat="1" ht="14.25">
      <c r="F214" s="163"/>
    </row>
    <row r="215" s="162" customFormat="1" ht="14.25">
      <c r="F215" s="163"/>
    </row>
    <row r="216" s="162" customFormat="1" ht="14.25">
      <c r="F216" s="163"/>
    </row>
    <row r="217" s="162" customFormat="1" ht="14.25">
      <c r="F217" s="163"/>
    </row>
    <row r="218" s="162" customFormat="1" ht="14.25">
      <c r="F218" s="163"/>
    </row>
    <row r="219" s="162" customFormat="1" ht="14.25">
      <c r="F219" s="163"/>
    </row>
    <row r="220" s="162" customFormat="1" ht="14.25">
      <c r="F220" s="163"/>
    </row>
    <row r="221" s="162" customFormat="1" ht="14.25">
      <c r="F221" s="163"/>
    </row>
    <row r="222" s="162" customFormat="1" ht="14.25">
      <c r="F222" s="163"/>
    </row>
    <row r="223" s="162" customFormat="1" ht="14.25">
      <c r="F223" s="163"/>
    </row>
    <row r="224" s="162" customFormat="1" ht="14.25">
      <c r="F224" s="163"/>
    </row>
    <row r="225" s="162" customFormat="1" ht="14.25">
      <c r="F225" s="163"/>
    </row>
    <row r="226" s="162" customFormat="1" ht="14.25">
      <c r="F226" s="163"/>
    </row>
    <row r="227" s="162" customFormat="1" ht="14.25">
      <c r="F227" s="163"/>
    </row>
    <row r="228" s="162" customFormat="1" ht="14.25">
      <c r="F228" s="163"/>
    </row>
    <row r="229" s="162" customFormat="1" ht="14.25">
      <c r="F229" s="163"/>
    </row>
    <row r="230" s="162" customFormat="1" ht="14.25">
      <c r="F230" s="163"/>
    </row>
    <row r="231" s="162" customFormat="1" ht="14.25">
      <c r="F231" s="163"/>
    </row>
    <row r="232" s="162" customFormat="1" ht="14.25">
      <c r="F232" s="163"/>
    </row>
    <row r="233" s="162" customFormat="1" ht="14.25">
      <c r="F233" s="163"/>
    </row>
    <row r="234" s="162" customFormat="1" ht="14.25">
      <c r="F234" s="163"/>
    </row>
    <row r="235" s="162" customFormat="1" ht="14.25">
      <c r="F235" s="163"/>
    </row>
    <row r="236" s="162" customFormat="1" ht="14.25">
      <c r="F236" s="163"/>
    </row>
    <row r="237" s="162" customFormat="1" ht="14.25">
      <c r="F237" s="163"/>
    </row>
    <row r="238" s="162" customFormat="1" ht="14.25">
      <c r="F238" s="163"/>
    </row>
    <row r="239" s="162" customFormat="1" ht="14.25">
      <c r="F239" s="163"/>
    </row>
    <row r="240" s="162" customFormat="1" ht="14.25">
      <c r="F240" s="163"/>
    </row>
    <row r="241" s="162" customFormat="1" ht="14.25">
      <c r="F241" s="163"/>
    </row>
    <row r="242" s="162" customFormat="1" ht="14.25">
      <c r="F242" s="163"/>
    </row>
    <row r="243" s="162" customFormat="1" ht="14.25">
      <c r="F243" s="163"/>
    </row>
    <row r="244" s="162" customFormat="1" ht="14.25">
      <c r="F244" s="163"/>
    </row>
    <row r="245" s="162" customFormat="1" ht="14.25">
      <c r="F245" s="163"/>
    </row>
    <row r="246" s="162" customFormat="1" ht="14.25">
      <c r="F246" s="163"/>
    </row>
    <row r="247" s="162" customFormat="1" ht="14.25">
      <c r="F247" s="163"/>
    </row>
    <row r="248" s="162" customFormat="1" ht="14.25">
      <c r="F248" s="163"/>
    </row>
    <row r="249" s="162" customFormat="1" ht="14.25">
      <c r="F249" s="163"/>
    </row>
    <row r="250" s="162" customFormat="1" ht="14.25">
      <c r="F250" s="163"/>
    </row>
    <row r="251" s="162" customFormat="1" ht="14.25">
      <c r="F251" s="163"/>
    </row>
    <row r="252" s="162" customFormat="1" ht="14.25">
      <c r="F252" s="163"/>
    </row>
    <row r="253" s="162" customFormat="1" ht="14.25">
      <c r="F253" s="163"/>
    </row>
    <row r="254" s="162" customFormat="1" ht="14.25">
      <c r="F254" s="163"/>
    </row>
    <row r="255" s="162" customFormat="1" ht="14.25">
      <c r="F255" s="163"/>
    </row>
    <row r="256" s="162" customFormat="1" ht="14.25">
      <c r="F256" s="163"/>
    </row>
    <row r="257" s="162" customFormat="1" ht="14.25">
      <c r="F257" s="163"/>
    </row>
    <row r="258" s="162" customFormat="1" ht="14.25">
      <c r="F258" s="163"/>
    </row>
    <row r="259" s="162" customFormat="1" ht="14.25">
      <c r="F259" s="163"/>
    </row>
    <row r="260" s="162" customFormat="1" ht="14.25">
      <c r="F260" s="163"/>
    </row>
    <row r="261" s="162" customFormat="1" ht="14.25">
      <c r="F261" s="163"/>
    </row>
    <row r="262" s="162" customFormat="1" ht="14.25">
      <c r="F262" s="163"/>
    </row>
    <row r="263" s="162" customFormat="1" ht="14.25">
      <c r="F263" s="163"/>
    </row>
    <row r="264" s="162" customFormat="1" ht="14.25">
      <c r="F264" s="163"/>
    </row>
    <row r="265" s="162" customFormat="1" ht="14.25">
      <c r="F265" s="163"/>
    </row>
    <row r="266" s="162" customFormat="1" ht="14.25">
      <c r="F266" s="163"/>
    </row>
    <row r="267" s="162" customFormat="1" ht="14.25">
      <c r="F267" s="163"/>
    </row>
    <row r="268" s="162" customFormat="1" ht="14.25">
      <c r="F268" s="163"/>
    </row>
    <row r="269" s="162" customFormat="1" ht="14.25">
      <c r="F269" s="163"/>
    </row>
    <row r="270" s="162" customFormat="1" ht="14.25">
      <c r="F270" s="163"/>
    </row>
    <row r="271" s="162" customFormat="1" ht="14.25">
      <c r="F271" s="163"/>
    </row>
    <row r="272" s="162" customFormat="1" ht="14.25">
      <c r="F272" s="163"/>
    </row>
    <row r="273" s="162" customFormat="1" ht="14.25">
      <c r="F273" s="163"/>
    </row>
    <row r="274" s="162" customFormat="1" ht="14.25">
      <c r="F274" s="163"/>
    </row>
    <row r="275" s="162" customFormat="1" ht="14.25">
      <c r="F275" s="163"/>
    </row>
    <row r="276" s="162" customFormat="1" ht="14.25">
      <c r="F276" s="163"/>
    </row>
    <row r="277" s="162" customFormat="1" ht="14.25">
      <c r="F277" s="163"/>
    </row>
    <row r="278" s="162" customFormat="1" ht="14.25">
      <c r="F278" s="163"/>
    </row>
    <row r="279" s="162" customFormat="1" ht="14.25">
      <c r="F279" s="163"/>
    </row>
    <row r="280" s="162" customFormat="1" ht="14.25">
      <c r="F280" s="163"/>
    </row>
    <row r="281" s="162" customFormat="1" ht="14.25">
      <c r="F281" s="163"/>
    </row>
    <row r="282" s="162" customFormat="1" ht="14.25">
      <c r="F282" s="163"/>
    </row>
    <row r="283" s="162" customFormat="1" ht="14.25">
      <c r="F283" s="163"/>
    </row>
    <row r="284" s="162" customFormat="1" ht="14.25">
      <c r="F284" s="163"/>
    </row>
    <row r="285" s="162" customFormat="1" ht="14.25">
      <c r="F285" s="163"/>
    </row>
    <row r="286" s="162" customFormat="1" ht="14.25">
      <c r="F286" s="163"/>
    </row>
    <row r="287" s="162" customFormat="1" ht="14.25">
      <c r="F287" s="163"/>
    </row>
    <row r="288" s="162" customFormat="1" ht="14.25">
      <c r="F288" s="163"/>
    </row>
    <row r="289" s="162" customFormat="1" ht="14.25">
      <c r="F289" s="163"/>
    </row>
    <row r="290" s="162" customFormat="1" ht="14.25">
      <c r="F290" s="163"/>
    </row>
    <row r="291" s="162" customFormat="1" ht="14.25">
      <c r="F291" s="163"/>
    </row>
    <row r="292" s="162" customFormat="1" ht="14.25">
      <c r="F292" s="163"/>
    </row>
    <row r="293" s="162" customFormat="1" ht="14.25">
      <c r="F293" s="163"/>
    </row>
    <row r="294" s="162" customFormat="1" ht="14.25">
      <c r="F294" s="163"/>
    </row>
    <row r="295" s="162" customFormat="1" ht="14.25">
      <c r="F295" s="163"/>
    </row>
    <row r="296" s="162" customFormat="1" ht="14.25">
      <c r="F296" s="163"/>
    </row>
    <row r="297" s="162" customFormat="1" ht="14.25">
      <c r="F297" s="163"/>
    </row>
    <row r="298" s="162" customFormat="1" ht="14.25">
      <c r="F298" s="163"/>
    </row>
    <row r="299" s="162" customFormat="1" ht="14.25">
      <c r="F299" s="163"/>
    </row>
    <row r="300" s="162" customFormat="1" ht="14.25">
      <c r="F300" s="163"/>
    </row>
    <row r="301" s="162" customFormat="1" ht="14.25">
      <c r="F301" s="163"/>
    </row>
    <row r="302" s="162" customFormat="1" ht="14.25">
      <c r="F302" s="163"/>
    </row>
    <row r="303" s="162" customFormat="1" ht="14.25">
      <c r="F303" s="163"/>
    </row>
    <row r="304" s="162" customFormat="1" ht="14.25">
      <c r="F304" s="163"/>
    </row>
    <row r="305" s="162" customFormat="1" ht="14.25">
      <c r="F305" s="163"/>
    </row>
    <row r="306" s="162" customFormat="1" ht="14.25">
      <c r="F306" s="163"/>
    </row>
    <row r="307" s="162" customFormat="1" ht="14.25">
      <c r="F307" s="163"/>
    </row>
    <row r="308" s="162" customFormat="1" ht="14.25">
      <c r="F308" s="163"/>
    </row>
    <row r="309" s="162" customFormat="1" ht="14.25">
      <c r="F309" s="163"/>
    </row>
    <row r="310" s="162" customFormat="1" ht="14.25">
      <c r="F310" s="163"/>
    </row>
    <row r="311" s="162" customFormat="1" ht="14.25">
      <c r="F311" s="163"/>
    </row>
    <row r="312" s="162" customFormat="1" ht="14.25">
      <c r="F312" s="163"/>
    </row>
    <row r="313" s="162" customFormat="1" ht="14.25">
      <c r="F313" s="163"/>
    </row>
    <row r="314" s="162" customFormat="1" ht="14.25">
      <c r="F314" s="163"/>
    </row>
    <row r="315" s="162" customFormat="1" ht="14.25">
      <c r="F315" s="163"/>
    </row>
    <row r="316" s="162" customFormat="1" ht="14.25">
      <c r="F316" s="163"/>
    </row>
    <row r="317" s="162" customFormat="1" ht="14.25">
      <c r="F317" s="163"/>
    </row>
    <row r="318" s="162" customFormat="1" ht="14.25">
      <c r="F318" s="163"/>
    </row>
    <row r="319" s="162" customFormat="1" ht="14.25">
      <c r="F319" s="163"/>
    </row>
    <row r="320" s="162" customFormat="1" ht="14.25">
      <c r="F320" s="163"/>
    </row>
    <row r="321" s="162" customFormat="1" ht="14.25">
      <c r="F321" s="163"/>
    </row>
    <row r="322" s="162" customFormat="1" ht="14.25">
      <c r="F322" s="163"/>
    </row>
    <row r="323" s="162" customFormat="1" ht="14.25">
      <c r="F323" s="163"/>
    </row>
    <row r="324" s="162" customFormat="1" ht="14.25">
      <c r="F324" s="163"/>
    </row>
    <row r="325" s="162" customFormat="1" ht="14.25">
      <c r="F325" s="163"/>
    </row>
    <row r="326" s="162" customFormat="1" ht="14.25">
      <c r="F326" s="163"/>
    </row>
    <row r="327" s="162" customFormat="1" ht="14.25">
      <c r="F327" s="163"/>
    </row>
    <row r="328" s="162" customFormat="1" ht="14.25">
      <c r="F328" s="163"/>
    </row>
    <row r="329" s="162" customFormat="1" ht="14.25">
      <c r="F329" s="163"/>
    </row>
    <row r="330" s="162" customFormat="1" ht="14.25">
      <c r="F330" s="163"/>
    </row>
    <row r="331" s="162" customFormat="1" ht="14.25">
      <c r="F331" s="163"/>
    </row>
    <row r="332" s="162" customFormat="1" ht="14.25">
      <c r="F332" s="163"/>
    </row>
    <row r="333" s="162" customFormat="1" ht="14.25">
      <c r="F333" s="163"/>
    </row>
    <row r="334" s="162" customFormat="1" ht="14.25">
      <c r="F334" s="163"/>
    </row>
    <row r="335" s="162" customFormat="1" ht="14.25">
      <c r="F335" s="163"/>
    </row>
    <row r="336" s="162" customFormat="1" ht="14.25">
      <c r="F336" s="163"/>
    </row>
    <row r="337" s="162" customFormat="1" ht="14.25">
      <c r="F337" s="163"/>
    </row>
    <row r="338" s="162" customFormat="1" ht="14.25">
      <c r="F338" s="163"/>
    </row>
    <row r="339" s="162" customFormat="1" ht="14.25">
      <c r="F339" s="163"/>
    </row>
    <row r="340" s="162" customFormat="1" ht="14.25">
      <c r="F340" s="163"/>
    </row>
    <row r="341" s="162" customFormat="1" ht="14.25">
      <c r="F341" s="163"/>
    </row>
    <row r="342" s="162" customFormat="1" ht="14.25">
      <c r="F342" s="163"/>
    </row>
    <row r="343" s="162" customFormat="1" ht="14.25">
      <c r="F343" s="163"/>
    </row>
    <row r="344" s="162" customFormat="1" ht="14.25">
      <c r="F344" s="163"/>
    </row>
    <row r="345" s="162" customFormat="1" ht="14.25">
      <c r="F345" s="163"/>
    </row>
    <row r="346" s="162" customFormat="1" ht="14.25">
      <c r="F346" s="163"/>
    </row>
    <row r="347" s="162" customFormat="1" ht="14.25">
      <c r="F347" s="163"/>
    </row>
    <row r="348" s="162" customFormat="1" ht="14.25">
      <c r="F348" s="163"/>
    </row>
    <row r="349" s="162" customFormat="1" ht="14.25">
      <c r="F349" s="163"/>
    </row>
    <row r="350" s="162" customFormat="1" ht="14.25">
      <c r="F350" s="163"/>
    </row>
    <row r="351" s="162" customFormat="1" ht="14.25">
      <c r="F351" s="163"/>
    </row>
    <row r="352" s="162" customFormat="1" ht="14.25">
      <c r="F352" s="163"/>
    </row>
    <row r="353" s="162" customFormat="1" ht="14.25">
      <c r="F353" s="163"/>
    </row>
    <row r="354" s="162" customFormat="1" ht="14.25">
      <c r="F354" s="163"/>
    </row>
    <row r="355" s="162" customFormat="1" ht="14.25">
      <c r="F355" s="163"/>
    </row>
    <row r="356" s="162" customFormat="1" ht="14.25">
      <c r="F356" s="163"/>
    </row>
    <row r="357" s="162" customFormat="1" ht="14.25">
      <c r="F357" s="163"/>
    </row>
    <row r="358" s="162" customFormat="1" ht="14.25">
      <c r="F358" s="163"/>
    </row>
    <row r="359" s="162" customFormat="1" ht="14.25">
      <c r="F359" s="163"/>
    </row>
    <row r="360" s="162" customFormat="1" ht="14.25">
      <c r="F360" s="163"/>
    </row>
    <row r="361" s="162" customFormat="1" ht="14.25">
      <c r="F361" s="163"/>
    </row>
    <row r="362" s="162" customFormat="1" ht="14.25">
      <c r="F362" s="163"/>
    </row>
    <row r="363" s="162" customFormat="1" ht="14.25">
      <c r="F363" s="163"/>
    </row>
    <row r="364" s="162" customFormat="1" ht="14.25">
      <c r="F364" s="163"/>
    </row>
    <row r="365" s="162" customFormat="1" ht="14.25">
      <c r="F365" s="163"/>
    </row>
    <row r="366" s="162" customFormat="1" ht="14.25">
      <c r="F366" s="163"/>
    </row>
    <row r="367" s="162" customFormat="1" ht="14.25">
      <c r="F367" s="163"/>
    </row>
    <row r="368" s="162" customFormat="1" ht="14.25">
      <c r="F368" s="163"/>
    </row>
    <row r="369" s="162" customFormat="1" ht="14.25">
      <c r="F369" s="163"/>
    </row>
    <row r="370" s="162" customFormat="1" ht="14.25">
      <c r="F370" s="163"/>
    </row>
    <row r="371" s="162" customFormat="1" ht="14.25">
      <c r="F371" s="163"/>
    </row>
    <row r="372" s="162" customFormat="1" ht="14.25">
      <c r="F372" s="163"/>
    </row>
    <row r="373" s="162" customFormat="1" ht="14.25">
      <c r="F373" s="163"/>
    </row>
    <row r="374" s="162" customFormat="1" ht="14.25">
      <c r="F374" s="163"/>
    </row>
    <row r="375" s="162" customFormat="1" ht="14.25">
      <c r="F375" s="163"/>
    </row>
    <row r="376" s="162" customFormat="1" ht="14.25">
      <c r="F376" s="163"/>
    </row>
    <row r="377" s="162" customFormat="1" ht="14.25">
      <c r="F377" s="163"/>
    </row>
    <row r="378" s="162" customFormat="1" ht="14.25">
      <c r="F378" s="163"/>
    </row>
    <row r="379" s="162" customFormat="1" ht="14.25">
      <c r="F379" s="163"/>
    </row>
    <row r="380" s="162" customFormat="1" ht="14.25">
      <c r="F380" s="163"/>
    </row>
    <row r="381" s="162" customFormat="1" ht="14.25">
      <c r="F381" s="163"/>
    </row>
    <row r="382" s="162" customFormat="1" ht="14.25">
      <c r="F382" s="163"/>
    </row>
    <row r="383" s="162" customFormat="1" ht="14.25">
      <c r="F383" s="163"/>
    </row>
    <row r="384" s="162" customFormat="1" ht="14.25">
      <c r="F384" s="163"/>
    </row>
    <row r="385" s="162" customFormat="1" ht="14.25">
      <c r="F385" s="163"/>
    </row>
    <row r="386" s="162" customFormat="1" ht="14.25">
      <c r="F386" s="163"/>
    </row>
    <row r="387" s="162" customFormat="1" ht="14.25">
      <c r="F387" s="163"/>
    </row>
    <row r="388" s="162" customFormat="1" ht="14.25">
      <c r="F388" s="163"/>
    </row>
    <row r="389" s="162" customFormat="1" ht="14.25">
      <c r="F389" s="163"/>
    </row>
    <row r="390" s="162" customFormat="1" ht="14.25">
      <c r="F390" s="163"/>
    </row>
    <row r="391" s="162" customFormat="1" ht="14.25">
      <c r="F391" s="163"/>
    </row>
    <row r="392" s="162" customFormat="1" ht="14.25">
      <c r="F392" s="163"/>
    </row>
    <row r="393" s="162" customFormat="1" ht="14.25">
      <c r="F393" s="163"/>
    </row>
    <row r="394" s="162" customFormat="1" ht="14.25">
      <c r="F394" s="163"/>
    </row>
    <row r="395" s="162" customFormat="1" ht="14.25">
      <c r="F395" s="163"/>
    </row>
    <row r="396" s="162" customFormat="1" ht="14.25">
      <c r="F396" s="163"/>
    </row>
    <row r="397" s="162" customFormat="1" ht="14.25">
      <c r="F397" s="163"/>
    </row>
    <row r="398" s="162" customFormat="1" ht="14.25">
      <c r="F398" s="163"/>
    </row>
    <row r="399" s="162" customFormat="1" ht="14.25">
      <c r="F399" s="163"/>
    </row>
    <row r="400" s="162" customFormat="1" ht="14.25">
      <c r="F400" s="163"/>
    </row>
    <row r="401" s="162" customFormat="1" ht="14.25">
      <c r="F401" s="163"/>
    </row>
    <row r="402" s="162" customFormat="1" ht="14.25">
      <c r="F402" s="163"/>
    </row>
    <row r="403" s="162" customFormat="1" ht="14.25">
      <c r="F403" s="163"/>
    </row>
    <row r="404" s="162" customFormat="1" ht="14.25">
      <c r="F404" s="163"/>
    </row>
    <row r="405" s="162" customFormat="1" ht="14.25">
      <c r="F405" s="163"/>
    </row>
    <row r="406" s="162" customFormat="1" ht="14.25">
      <c r="F406" s="163"/>
    </row>
    <row r="407" s="162" customFormat="1" ht="14.25">
      <c r="F407" s="163"/>
    </row>
    <row r="408" s="162" customFormat="1" ht="14.25">
      <c r="F408" s="163"/>
    </row>
    <row r="409" s="162" customFormat="1" ht="14.25">
      <c r="F409" s="163"/>
    </row>
    <row r="410" s="162" customFormat="1" ht="14.25">
      <c r="F410" s="163"/>
    </row>
    <row r="411" s="162" customFormat="1" ht="14.25">
      <c r="F411" s="163"/>
    </row>
    <row r="412" s="162" customFormat="1" ht="14.25">
      <c r="F412" s="163"/>
    </row>
    <row r="413" s="162" customFormat="1" ht="14.25">
      <c r="F413" s="163"/>
    </row>
    <row r="414" s="162" customFormat="1" ht="14.25">
      <c r="F414" s="163"/>
    </row>
    <row r="415" s="162" customFormat="1" ht="14.25">
      <c r="F415" s="163"/>
    </row>
    <row r="416" s="162" customFormat="1" ht="14.25">
      <c r="F416" s="163"/>
    </row>
    <row r="417" s="162" customFormat="1" ht="14.25">
      <c r="F417" s="163"/>
    </row>
    <row r="418" s="162" customFormat="1" ht="14.25">
      <c r="F418" s="163"/>
    </row>
    <row r="419" s="162" customFormat="1" ht="14.25">
      <c r="F419" s="163"/>
    </row>
    <row r="420" s="162" customFormat="1" ht="14.25">
      <c r="F420" s="163"/>
    </row>
    <row r="421" s="162" customFormat="1" ht="14.25">
      <c r="F421" s="163"/>
    </row>
    <row r="422" s="162" customFormat="1" ht="14.25">
      <c r="F422" s="163"/>
    </row>
    <row r="423" s="162" customFormat="1" ht="14.25">
      <c r="F423" s="163"/>
    </row>
    <row r="424" s="162" customFormat="1" ht="14.25">
      <c r="F424" s="163"/>
    </row>
    <row r="425" s="162" customFormat="1" ht="14.25">
      <c r="F425" s="163"/>
    </row>
    <row r="426" s="162" customFormat="1" ht="14.25">
      <c r="F426" s="163"/>
    </row>
    <row r="427" s="162" customFormat="1" ht="14.25">
      <c r="F427" s="163"/>
    </row>
    <row r="428" s="162" customFormat="1" ht="14.25">
      <c r="F428" s="163"/>
    </row>
    <row r="429" s="162" customFormat="1" ht="14.25">
      <c r="F429" s="163"/>
    </row>
    <row r="430" s="162" customFormat="1" ht="14.25">
      <c r="F430" s="163"/>
    </row>
    <row r="431" s="162" customFormat="1" ht="14.25">
      <c r="F431" s="163"/>
    </row>
    <row r="432" s="162" customFormat="1" ht="14.25">
      <c r="F432" s="163"/>
    </row>
    <row r="433" s="162" customFormat="1" ht="14.25">
      <c r="F433" s="163"/>
    </row>
    <row r="434" s="162" customFormat="1" ht="14.25">
      <c r="F434" s="163"/>
    </row>
    <row r="435" s="162" customFormat="1" ht="14.25">
      <c r="F435" s="163"/>
    </row>
    <row r="436" s="162" customFormat="1" ht="14.25">
      <c r="F436" s="163"/>
    </row>
    <row r="437" s="162" customFormat="1" ht="14.25">
      <c r="F437" s="163"/>
    </row>
    <row r="438" s="162" customFormat="1" ht="14.25">
      <c r="F438" s="163"/>
    </row>
    <row r="439" s="162" customFormat="1" ht="14.25">
      <c r="F439" s="163"/>
    </row>
    <row r="440" s="162" customFormat="1" ht="14.25">
      <c r="F440" s="163"/>
    </row>
    <row r="441" s="162" customFormat="1" ht="14.25">
      <c r="F441" s="163"/>
    </row>
    <row r="442" s="162" customFormat="1" ht="14.25">
      <c r="F442" s="163"/>
    </row>
    <row r="443" s="162" customFormat="1" ht="14.25">
      <c r="F443" s="163"/>
    </row>
    <row r="444" s="162" customFormat="1" ht="14.25">
      <c r="F444" s="163"/>
    </row>
    <row r="445" s="162" customFormat="1" ht="14.25">
      <c r="F445" s="163"/>
    </row>
    <row r="446" s="162" customFormat="1" ht="14.25">
      <c r="F446" s="163"/>
    </row>
    <row r="447" s="162" customFormat="1" ht="14.25">
      <c r="F447" s="163"/>
    </row>
    <row r="448" s="162" customFormat="1" ht="14.25">
      <c r="F448" s="163"/>
    </row>
    <row r="449" s="162" customFormat="1" ht="14.25">
      <c r="F449" s="163"/>
    </row>
    <row r="450" s="162" customFormat="1" ht="14.25">
      <c r="F450" s="163"/>
    </row>
    <row r="451" s="162" customFormat="1" ht="14.25">
      <c r="F451" s="163"/>
    </row>
    <row r="452" s="162" customFormat="1" ht="14.25">
      <c r="F452" s="163"/>
    </row>
    <row r="453" s="162" customFormat="1" ht="14.25">
      <c r="F453" s="163"/>
    </row>
    <row r="454" s="162" customFormat="1" ht="14.25">
      <c r="F454" s="163"/>
    </row>
    <row r="455" s="162" customFormat="1" ht="14.25">
      <c r="F455" s="163"/>
    </row>
    <row r="456" s="162" customFormat="1" ht="14.25">
      <c r="F456" s="163"/>
    </row>
    <row r="457" s="162" customFormat="1" ht="14.25">
      <c r="F457" s="163"/>
    </row>
    <row r="458" s="162" customFormat="1" ht="14.25">
      <c r="F458" s="163"/>
    </row>
    <row r="459" s="162" customFormat="1" ht="14.25">
      <c r="F459" s="163"/>
    </row>
    <row r="460" s="162" customFormat="1" ht="14.25">
      <c r="F460" s="163"/>
    </row>
    <row r="461" s="162" customFormat="1" ht="14.25">
      <c r="F461" s="163"/>
    </row>
    <row r="462" s="162" customFormat="1" ht="14.25">
      <c r="F462" s="163"/>
    </row>
    <row r="463" s="162" customFormat="1" ht="14.25">
      <c r="F463" s="163"/>
    </row>
    <row r="464" s="162" customFormat="1" ht="14.25">
      <c r="F464" s="163"/>
    </row>
    <row r="465" s="162" customFormat="1" ht="14.25">
      <c r="F465" s="163"/>
    </row>
    <row r="466" s="162" customFormat="1" ht="14.25">
      <c r="F466" s="163"/>
    </row>
    <row r="467" s="162" customFormat="1" ht="14.25">
      <c r="F467" s="163"/>
    </row>
    <row r="468" s="162" customFormat="1" ht="14.25">
      <c r="F468" s="163"/>
    </row>
    <row r="469" s="162" customFormat="1" ht="14.25">
      <c r="F469" s="163"/>
    </row>
    <row r="470" s="162" customFormat="1" ht="14.25">
      <c r="F470" s="163"/>
    </row>
    <row r="471" s="162" customFormat="1" ht="14.25">
      <c r="F471" s="163"/>
    </row>
    <row r="472" s="162" customFormat="1" ht="14.25">
      <c r="F472" s="163"/>
    </row>
    <row r="473" s="162" customFormat="1" ht="14.25">
      <c r="F473" s="163"/>
    </row>
    <row r="474" s="162" customFormat="1" ht="14.25">
      <c r="F474" s="163"/>
    </row>
    <row r="475" s="162" customFormat="1" ht="14.25">
      <c r="F475" s="163"/>
    </row>
    <row r="476" s="162" customFormat="1" ht="14.25">
      <c r="F476" s="163"/>
    </row>
    <row r="477" s="162" customFormat="1" ht="14.25">
      <c r="F477" s="163"/>
    </row>
    <row r="478" s="162" customFormat="1" ht="14.25">
      <c r="F478" s="163"/>
    </row>
    <row r="479" s="162" customFormat="1" ht="14.25">
      <c r="F479" s="163"/>
    </row>
    <row r="480" s="162" customFormat="1" ht="14.25">
      <c r="F480" s="163"/>
    </row>
    <row r="481" s="162" customFormat="1" ht="14.25">
      <c r="F481" s="163"/>
    </row>
    <row r="482" s="162" customFormat="1" ht="14.25">
      <c r="F482" s="163"/>
    </row>
    <row r="483" s="162" customFormat="1" ht="14.25">
      <c r="F483" s="163"/>
    </row>
    <row r="484" s="162" customFormat="1" ht="14.25">
      <c r="F484" s="163"/>
    </row>
    <row r="485" s="162" customFormat="1" ht="14.25">
      <c r="F485" s="163"/>
    </row>
    <row r="486" s="162" customFormat="1" ht="14.25">
      <c r="F486" s="163"/>
    </row>
    <row r="487" s="162" customFormat="1" ht="14.25">
      <c r="F487" s="163"/>
    </row>
    <row r="488" s="162" customFormat="1" ht="14.25">
      <c r="F488" s="163"/>
    </row>
    <row r="489" s="162" customFormat="1" ht="14.25">
      <c r="F489" s="163"/>
    </row>
    <row r="490" s="162" customFormat="1" ht="14.25">
      <c r="F490" s="163"/>
    </row>
    <row r="491" s="162" customFormat="1" ht="14.25">
      <c r="F491" s="163"/>
    </row>
    <row r="492" s="162" customFormat="1" ht="14.25">
      <c r="F492" s="163"/>
    </row>
    <row r="493" s="162" customFormat="1" ht="14.25">
      <c r="F493" s="163"/>
    </row>
    <row r="494" s="162" customFormat="1" ht="14.25">
      <c r="F494" s="163"/>
    </row>
    <row r="495" s="162" customFormat="1" ht="14.25">
      <c r="F495" s="163"/>
    </row>
    <row r="496" s="162" customFormat="1" ht="14.25">
      <c r="F496" s="163"/>
    </row>
    <row r="497" s="162" customFormat="1" ht="14.25">
      <c r="F497" s="163"/>
    </row>
    <row r="498" s="162" customFormat="1" ht="14.25">
      <c r="F498" s="163"/>
    </row>
    <row r="499" s="162" customFormat="1" ht="14.25">
      <c r="F499" s="163"/>
    </row>
    <row r="500" s="162" customFormat="1" ht="14.25">
      <c r="F500" s="163"/>
    </row>
    <row r="501" s="162" customFormat="1" ht="14.25">
      <c r="F501" s="163"/>
    </row>
    <row r="502" s="162" customFormat="1" ht="14.25">
      <c r="F502" s="163"/>
    </row>
    <row r="503" s="162" customFormat="1" ht="14.25">
      <c r="F503" s="163"/>
    </row>
    <row r="504" s="162" customFormat="1" ht="14.25">
      <c r="F504" s="163"/>
    </row>
    <row r="505" s="162" customFormat="1" ht="14.25">
      <c r="F505" s="163"/>
    </row>
    <row r="506" s="162" customFormat="1" ht="14.25">
      <c r="F506" s="163"/>
    </row>
    <row r="507" s="162" customFormat="1" ht="14.25">
      <c r="F507" s="163"/>
    </row>
    <row r="508" s="162" customFormat="1" ht="14.25">
      <c r="F508" s="163"/>
    </row>
    <row r="509" s="162" customFormat="1" ht="14.25">
      <c r="F509" s="163"/>
    </row>
    <row r="510" s="162" customFormat="1" ht="14.25">
      <c r="F510" s="163"/>
    </row>
    <row r="511" s="162" customFormat="1" ht="14.25">
      <c r="F511" s="163"/>
    </row>
    <row r="512" s="162" customFormat="1" ht="14.25">
      <c r="F512" s="163"/>
    </row>
    <row r="513" s="162" customFormat="1" ht="14.25">
      <c r="F513" s="163"/>
    </row>
    <row r="514" s="162" customFormat="1" ht="14.25">
      <c r="F514" s="163"/>
    </row>
    <row r="515" s="162" customFormat="1" ht="14.25">
      <c r="F515" s="163"/>
    </row>
    <row r="516" s="162" customFormat="1" ht="14.25">
      <c r="F516" s="163"/>
    </row>
    <row r="517" s="162" customFormat="1" ht="14.25">
      <c r="F517" s="163"/>
    </row>
    <row r="518" s="162" customFormat="1" ht="14.25">
      <c r="F518" s="163"/>
    </row>
    <row r="519" s="162" customFormat="1" ht="14.25">
      <c r="F519" s="163"/>
    </row>
    <row r="520" s="162" customFormat="1" ht="14.25">
      <c r="F520" s="163"/>
    </row>
    <row r="521" s="162" customFormat="1" ht="14.25">
      <c r="F521" s="163"/>
    </row>
    <row r="522" s="162" customFormat="1" ht="14.25">
      <c r="F522" s="163"/>
    </row>
    <row r="523" s="162" customFormat="1" ht="14.25">
      <c r="F523" s="163"/>
    </row>
    <row r="524" s="162" customFormat="1" ht="14.25">
      <c r="F524" s="163"/>
    </row>
    <row r="525" s="162" customFormat="1" ht="14.25">
      <c r="F525" s="163"/>
    </row>
    <row r="526" s="162" customFormat="1" ht="14.25">
      <c r="F526" s="163"/>
    </row>
    <row r="527" s="162" customFormat="1" ht="14.25">
      <c r="F527" s="163"/>
    </row>
    <row r="528" s="162" customFormat="1" ht="14.25">
      <c r="F528" s="163"/>
    </row>
    <row r="529" s="162" customFormat="1" ht="14.25">
      <c r="F529" s="163"/>
    </row>
    <row r="530" s="162" customFormat="1" ht="14.25">
      <c r="F530" s="163"/>
    </row>
    <row r="531" s="162" customFormat="1" ht="14.25">
      <c r="F531" s="163"/>
    </row>
    <row r="532" s="162" customFormat="1" ht="14.25">
      <c r="F532" s="163"/>
    </row>
    <row r="533" s="162" customFormat="1" ht="14.25">
      <c r="F533" s="163"/>
    </row>
    <row r="534" s="162" customFormat="1" ht="14.25">
      <c r="F534" s="163"/>
    </row>
    <row r="535" s="162" customFormat="1" ht="14.25">
      <c r="F535" s="163"/>
    </row>
    <row r="536" s="162" customFormat="1" ht="14.25">
      <c r="F536" s="163"/>
    </row>
    <row r="537" s="162" customFormat="1" ht="14.25">
      <c r="F537" s="163"/>
    </row>
    <row r="538" s="162" customFormat="1" ht="14.25">
      <c r="F538" s="163"/>
    </row>
    <row r="539" s="162" customFormat="1" ht="14.25">
      <c r="F539" s="163"/>
    </row>
    <row r="540" s="162" customFormat="1" ht="14.25">
      <c r="F540" s="163"/>
    </row>
    <row r="541" s="162" customFormat="1" ht="14.25">
      <c r="F541" s="163"/>
    </row>
    <row r="542" s="162" customFormat="1" ht="14.25">
      <c r="F542" s="163"/>
    </row>
    <row r="543" s="162" customFormat="1" ht="14.25">
      <c r="F543" s="163"/>
    </row>
    <row r="544" s="162" customFormat="1" ht="14.25">
      <c r="F544" s="163"/>
    </row>
    <row r="545" s="162" customFormat="1" ht="14.25">
      <c r="F545" s="163"/>
    </row>
    <row r="546" s="162" customFormat="1" ht="14.25">
      <c r="F546" s="163"/>
    </row>
    <row r="547" s="162" customFormat="1" ht="14.25">
      <c r="F547" s="163"/>
    </row>
    <row r="548" s="162" customFormat="1" ht="14.25">
      <c r="F548" s="163"/>
    </row>
    <row r="549" s="162" customFormat="1" ht="14.25">
      <c r="F549" s="163"/>
    </row>
    <row r="550" s="162" customFormat="1" ht="14.25">
      <c r="F550" s="163"/>
    </row>
    <row r="551" s="162" customFormat="1" ht="14.25">
      <c r="F551" s="163"/>
    </row>
    <row r="552" s="162" customFormat="1" ht="14.25">
      <c r="F552" s="163"/>
    </row>
    <row r="553" s="162" customFormat="1" ht="14.25">
      <c r="F553" s="163"/>
    </row>
    <row r="554" s="162" customFormat="1" ht="14.25">
      <c r="F554" s="163"/>
    </row>
    <row r="555" s="162" customFormat="1" ht="14.25">
      <c r="F555" s="163"/>
    </row>
    <row r="556" s="162" customFormat="1" ht="14.25">
      <c r="F556" s="163"/>
    </row>
    <row r="557" s="162" customFormat="1" ht="14.25">
      <c r="F557" s="163"/>
    </row>
    <row r="558" s="162" customFormat="1" ht="14.25">
      <c r="F558" s="163"/>
    </row>
    <row r="559" s="162" customFormat="1" ht="14.25">
      <c r="F559" s="163"/>
    </row>
    <row r="560" s="162" customFormat="1" ht="14.25">
      <c r="F560" s="163"/>
    </row>
    <row r="561" s="162" customFormat="1" ht="14.25">
      <c r="F561" s="163"/>
    </row>
    <row r="562" s="162" customFormat="1" ht="14.25">
      <c r="F562" s="163"/>
    </row>
    <row r="563" s="162" customFormat="1" ht="14.25">
      <c r="F563" s="163"/>
    </row>
    <row r="564" s="162" customFormat="1" ht="14.25">
      <c r="F564" s="163"/>
    </row>
    <row r="565" s="162" customFormat="1" ht="14.25">
      <c r="F565" s="163"/>
    </row>
    <row r="566" s="162" customFormat="1" ht="14.25">
      <c r="F566" s="163"/>
    </row>
    <row r="567" s="162" customFormat="1" ht="14.25">
      <c r="F567" s="163"/>
    </row>
    <row r="568" s="162" customFormat="1" ht="14.25">
      <c r="F568" s="163"/>
    </row>
    <row r="569" s="162" customFormat="1" ht="14.25">
      <c r="F569" s="163"/>
    </row>
    <row r="570" s="162" customFormat="1" ht="14.25">
      <c r="F570" s="163"/>
    </row>
    <row r="571" s="162" customFormat="1" ht="14.25">
      <c r="F571" s="163"/>
    </row>
    <row r="572" s="162" customFormat="1" ht="14.25">
      <c r="F572" s="163"/>
    </row>
    <row r="573" s="162" customFormat="1" ht="14.25">
      <c r="F573" s="163"/>
    </row>
    <row r="574" s="162" customFormat="1" ht="14.25">
      <c r="F574" s="163"/>
    </row>
    <row r="575" s="162" customFormat="1" ht="14.25">
      <c r="F575" s="163"/>
    </row>
    <row r="576" s="162" customFormat="1" ht="14.25">
      <c r="F576" s="163"/>
    </row>
    <row r="577" s="162" customFormat="1" ht="14.25">
      <c r="F577" s="163"/>
    </row>
    <row r="578" s="162" customFormat="1" ht="14.25">
      <c r="F578" s="163"/>
    </row>
    <row r="579" s="162" customFormat="1" ht="14.25">
      <c r="F579" s="163"/>
    </row>
    <row r="580" s="162" customFormat="1" ht="14.25">
      <c r="F580" s="163"/>
    </row>
    <row r="581" s="162" customFormat="1" ht="14.25">
      <c r="F581" s="163"/>
    </row>
    <row r="582" s="162" customFormat="1" ht="14.25">
      <c r="F582" s="163"/>
    </row>
    <row r="583" s="162" customFormat="1" ht="14.25">
      <c r="F583" s="163"/>
    </row>
    <row r="584" s="162" customFormat="1" ht="14.25">
      <c r="F584" s="163"/>
    </row>
    <row r="585" s="162" customFormat="1" ht="14.25">
      <c r="F585" s="163"/>
    </row>
    <row r="586" s="162" customFormat="1" ht="14.25">
      <c r="F586" s="163"/>
    </row>
    <row r="587" s="162" customFormat="1" ht="14.25">
      <c r="F587" s="163"/>
    </row>
    <row r="588" s="162" customFormat="1" ht="14.25">
      <c r="F588" s="163"/>
    </row>
    <row r="589" s="162" customFormat="1" ht="14.25">
      <c r="F589" s="163"/>
    </row>
    <row r="590" s="162" customFormat="1" ht="14.25">
      <c r="F590" s="163"/>
    </row>
    <row r="591" s="162" customFormat="1" ht="14.25">
      <c r="F591" s="163"/>
    </row>
    <row r="592" s="162" customFormat="1" ht="14.25">
      <c r="F592" s="163"/>
    </row>
    <row r="593" s="162" customFormat="1" ht="14.25">
      <c r="F593" s="163"/>
    </row>
    <row r="594" s="162" customFormat="1" ht="14.25">
      <c r="F594" s="163"/>
    </row>
    <row r="595" s="162" customFormat="1" ht="14.25">
      <c r="F595" s="163"/>
    </row>
    <row r="596" s="162" customFormat="1" ht="14.25">
      <c r="F596" s="163"/>
    </row>
    <row r="597" s="162" customFormat="1" ht="14.25">
      <c r="F597" s="163"/>
    </row>
    <row r="598" s="162" customFormat="1" ht="14.25">
      <c r="F598" s="163"/>
    </row>
    <row r="599" s="162" customFormat="1" ht="14.25">
      <c r="F599" s="163"/>
    </row>
    <row r="600" s="162" customFormat="1" ht="14.25">
      <c r="F600" s="163"/>
    </row>
    <row r="601" s="162" customFormat="1" ht="14.25">
      <c r="F601" s="163"/>
    </row>
    <row r="602" s="162" customFormat="1" ht="14.25">
      <c r="F602" s="163"/>
    </row>
    <row r="603" s="162" customFormat="1" ht="14.25">
      <c r="F603" s="163"/>
    </row>
    <row r="604" s="162" customFormat="1" ht="14.25">
      <c r="F604" s="163"/>
    </row>
    <row r="605" s="162" customFormat="1" ht="14.25">
      <c r="F605" s="163"/>
    </row>
    <row r="606" s="162" customFormat="1" ht="14.25">
      <c r="F606" s="163"/>
    </row>
    <row r="607" s="162" customFormat="1" ht="14.25">
      <c r="F607" s="163"/>
    </row>
    <row r="608" s="162" customFormat="1" ht="14.25">
      <c r="F608" s="163"/>
    </row>
    <row r="609" s="162" customFormat="1" ht="14.25">
      <c r="F609" s="163"/>
    </row>
    <row r="610" s="162" customFormat="1" ht="14.25">
      <c r="F610" s="163"/>
    </row>
    <row r="611" s="162" customFormat="1" ht="14.25">
      <c r="F611" s="163"/>
    </row>
    <row r="612" s="162" customFormat="1" ht="14.25">
      <c r="F612" s="163"/>
    </row>
    <row r="613" s="162" customFormat="1" ht="14.25">
      <c r="F613" s="163"/>
    </row>
    <row r="614" s="162" customFormat="1" ht="14.25">
      <c r="F614" s="163"/>
    </row>
    <row r="615" s="162" customFormat="1" ht="14.25">
      <c r="F615" s="163"/>
    </row>
    <row r="616" s="162" customFormat="1" ht="14.25">
      <c r="F616" s="163"/>
    </row>
    <row r="617" s="162" customFormat="1" ht="14.25">
      <c r="F617" s="163"/>
    </row>
    <row r="618" s="162" customFormat="1" ht="14.25">
      <c r="F618" s="163"/>
    </row>
    <row r="619" s="162" customFormat="1" ht="14.25">
      <c r="F619" s="163"/>
    </row>
    <row r="620" s="162" customFormat="1" ht="14.25">
      <c r="F620" s="163"/>
    </row>
    <row r="621" s="162" customFormat="1" ht="14.25">
      <c r="F621" s="163"/>
    </row>
    <row r="622" s="162" customFormat="1" ht="14.25">
      <c r="F622" s="163"/>
    </row>
    <row r="623" s="162" customFormat="1" ht="14.25">
      <c r="F623" s="163"/>
    </row>
    <row r="624" s="162" customFormat="1" ht="14.25">
      <c r="F624" s="163"/>
    </row>
    <row r="625" s="162" customFormat="1" ht="14.25">
      <c r="F625" s="163"/>
    </row>
    <row r="626" s="162" customFormat="1" ht="14.25">
      <c r="F626" s="163"/>
    </row>
    <row r="627" s="162" customFormat="1" ht="14.25">
      <c r="F627" s="163"/>
    </row>
    <row r="628" s="162" customFormat="1" ht="14.25">
      <c r="F628" s="163"/>
    </row>
    <row r="629" s="162" customFormat="1" ht="14.25">
      <c r="F629" s="163"/>
    </row>
    <row r="630" s="162" customFormat="1" ht="14.25">
      <c r="F630" s="163"/>
    </row>
    <row r="631" s="162" customFormat="1" ht="14.25">
      <c r="F631" s="163"/>
    </row>
    <row r="632" s="162" customFormat="1" ht="14.25">
      <c r="F632" s="163"/>
    </row>
    <row r="633" s="162" customFormat="1" ht="14.25">
      <c r="F633" s="163"/>
    </row>
    <row r="634" s="162" customFormat="1" ht="14.25">
      <c r="F634" s="163"/>
    </row>
    <row r="635" s="162" customFormat="1" ht="14.25">
      <c r="F635" s="163"/>
    </row>
    <row r="636" s="162" customFormat="1" ht="14.25">
      <c r="F636" s="163"/>
    </row>
    <row r="637" s="162" customFormat="1" ht="14.25">
      <c r="F637" s="163"/>
    </row>
    <row r="638" s="162" customFormat="1" ht="14.25">
      <c r="F638" s="163"/>
    </row>
    <row r="639" s="162" customFormat="1" ht="14.25">
      <c r="F639" s="163"/>
    </row>
    <row r="640" s="162" customFormat="1" ht="14.25">
      <c r="F640" s="163"/>
    </row>
    <row r="641" s="162" customFormat="1" ht="14.25">
      <c r="F641" s="163"/>
    </row>
    <row r="642" s="162" customFormat="1" ht="14.25">
      <c r="F642" s="163"/>
    </row>
    <row r="643" s="162" customFormat="1" ht="14.25">
      <c r="F643" s="163"/>
    </row>
    <row r="644" s="162" customFormat="1" ht="14.25">
      <c r="F644" s="163"/>
    </row>
    <row r="645" s="162" customFormat="1" ht="14.25">
      <c r="F645" s="163"/>
    </row>
    <row r="646" s="162" customFormat="1" ht="14.25">
      <c r="F646" s="163"/>
    </row>
    <row r="647" s="162" customFormat="1" ht="14.25">
      <c r="F647" s="163"/>
    </row>
    <row r="648" s="162" customFormat="1" ht="14.25">
      <c r="F648" s="163"/>
    </row>
    <row r="649" s="162" customFormat="1" ht="14.25">
      <c r="F649" s="163"/>
    </row>
    <row r="650" s="162" customFormat="1" ht="14.25">
      <c r="F650" s="163"/>
    </row>
    <row r="651" s="162" customFormat="1" ht="14.25">
      <c r="F651" s="163"/>
    </row>
    <row r="652" s="162" customFormat="1" ht="14.25">
      <c r="F652" s="163"/>
    </row>
    <row r="653" s="162" customFormat="1" ht="14.25">
      <c r="F653" s="163"/>
    </row>
    <row r="654" s="162" customFormat="1" ht="14.25">
      <c r="F654" s="163"/>
    </row>
    <row r="655" s="162" customFormat="1" ht="14.25">
      <c r="F655" s="163"/>
    </row>
    <row r="656" s="162" customFormat="1" ht="14.25">
      <c r="F656" s="163"/>
    </row>
    <row r="657" s="162" customFormat="1" ht="14.25">
      <c r="F657" s="163"/>
    </row>
    <row r="658" s="162" customFormat="1" ht="14.25">
      <c r="F658" s="163"/>
    </row>
    <row r="659" s="162" customFormat="1" ht="14.25">
      <c r="F659" s="163"/>
    </row>
    <row r="660" s="162" customFormat="1" ht="14.25">
      <c r="F660" s="163"/>
    </row>
    <row r="661" s="162" customFormat="1" ht="14.25">
      <c r="F661" s="163"/>
    </row>
    <row r="662" s="162" customFormat="1" ht="14.25">
      <c r="F662" s="163"/>
    </row>
    <row r="663" s="162" customFormat="1" ht="14.25">
      <c r="F663" s="163"/>
    </row>
    <row r="664" s="162" customFormat="1" ht="14.25">
      <c r="F664" s="163"/>
    </row>
    <row r="665" s="162" customFormat="1" ht="14.25">
      <c r="F665" s="163"/>
    </row>
    <row r="666" s="162" customFormat="1" ht="14.25">
      <c r="F666" s="163"/>
    </row>
    <row r="667" s="162" customFormat="1" ht="14.25">
      <c r="F667" s="163"/>
    </row>
    <row r="668" s="162" customFormat="1" ht="14.25">
      <c r="F668" s="163"/>
    </row>
    <row r="669" s="162" customFormat="1" ht="14.25">
      <c r="F669" s="163"/>
    </row>
    <row r="670" s="162" customFormat="1" ht="14.25">
      <c r="F670" s="163"/>
    </row>
    <row r="671" s="162" customFormat="1" ht="14.25">
      <c r="F671" s="163"/>
    </row>
    <row r="672" s="162" customFormat="1" ht="14.25">
      <c r="F672" s="163"/>
    </row>
    <row r="673" s="162" customFormat="1" ht="14.25">
      <c r="F673" s="163"/>
    </row>
    <row r="674" s="162" customFormat="1" ht="14.25">
      <c r="F674" s="163"/>
    </row>
    <row r="675" s="162" customFormat="1" ht="14.25">
      <c r="F675" s="163"/>
    </row>
    <row r="676" s="162" customFormat="1" ht="14.25">
      <c r="F676" s="163"/>
    </row>
    <row r="677" s="162" customFormat="1" ht="14.25">
      <c r="F677" s="163"/>
    </row>
    <row r="678" s="162" customFormat="1" ht="14.25">
      <c r="F678" s="163"/>
    </row>
    <row r="679" s="162" customFormat="1" ht="14.25">
      <c r="F679" s="163"/>
    </row>
    <row r="680" s="162" customFormat="1" ht="14.25">
      <c r="F680" s="163"/>
    </row>
    <row r="681" s="162" customFormat="1" ht="14.25">
      <c r="F681" s="163"/>
    </row>
    <row r="682" s="162" customFormat="1" ht="14.25">
      <c r="F682" s="163"/>
    </row>
    <row r="683" s="162" customFormat="1" ht="14.25">
      <c r="F683" s="163"/>
    </row>
    <row r="684" s="162" customFormat="1" ht="14.25">
      <c r="F684" s="163"/>
    </row>
    <row r="685" s="162" customFormat="1" ht="14.25">
      <c r="F685" s="163"/>
    </row>
    <row r="686" s="162" customFormat="1" ht="14.25">
      <c r="F686" s="163"/>
    </row>
    <row r="687" s="162" customFormat="1" ht="14.25">
      <c r="F687" s="163"/>
    </row>
    <row r="688" s="162" customFormat="1" ht="14.25">
      <c r="F688" s="163"/>
    </row>
    <row r="689" s="162" customFormat="1" ht="14.25">
      <c r="F689" s="163"/>
    </row>
    <row r="690" s="162" customFormat="1" ht="14.25">
      <c r="F690" s="163"/>
    </row>
    <row r="691" s="162" customFormat="1" ht="14.25">
      <c r="F691" s="163"/>
    </row>
    <row r="692" s="162" customFormat="1" ht="14.25">
      <c r="F692" s="163"/>
    </row>
    <row r="693" s="162" customFormat="1" ht="14.25">
      <c r="F693" s="163"/>
    </row>
    <row r="694" s="162" customFormat="1" ht="14.25">
      <c r="F694" s="163"/>
    </row>
    <row r="695" s="162" customFormat="1" ht="14.25">
      <c r="F695" s="163"/>
    </row>
    <row r="696" s="162" customFormat="1" ht="14.25">
      <c r="F696" s="163"/>
    </row>
    <row r="697" s="162" customFormat="1" ht="14.25">
      <c r="F697" s="163"/>
    </row>
    <row r="698" s="162" customFormat="1" ht="14.25">
      <c r="F698" s="163"/>
    </row>
    <row r="699" s="162" customFormat="1" ht="14.25">
      <c r="F699" s="163"/>
    </row>
    <row r="700" s="162" customFormat="1" ht="14.25">
      <c r="F700" s="163"/>
    </row>
    <row r="701" s="162" customFormat="1" ht="14.25">
      <c r="F701" s="163"/>
    </row>
    <row r="702" s="162" customFormat="1" ht="14.25">
      <c r="F702" s="163"/>
    </row>
    <row r="703" s="162" customFormat="1" ht="14.25">
      <c r="F703" s="163"/>
    </row>
    <row r="704" s="162" customFormat="1" ht="14.25">
      <c r="F704" s="163"/>
    </row>
    <row r="705" s="162" customFormat="1" ht="14.25">
      <c r="F705" s="163"/>
    </row>
    <row r="706" s="162" customFormat="1" ht="14.25">
      <c r="F706" s="163"/>
    </row>
    <row r="707" s="162" customFormat="1" ht="14.25">
      <c r="F707" s="163"/>
    </row>
    <row r="708" s="162" customFormat="1" ht="14.25">
      <c r="F708" s="163"/>
    </row>
    <row r="709" s="162" customFormat="1" ht="14.25">
      <c r="F709" s="163"/>
    </row>
    <row r="710" s="162" customFormat="1" ht="14.25">
      <c r="F710" s="163"/>
    </row>
    <row r="711" s="162" customFormat="1" ht="14.25">
      <c r="F711" s="163"/>
    </row>
    <row r="712" s="162" customFormat="1" ht="14.25">
      <c r="F712" s="163"/>
    </row>
    <row r="713" s="162" customFormat="1" ht="14.25">
      <c r="F713" s="163"/>
    </row>
    <row r="714" s="162" customFormat="1" ht="14.25">
      <c r="F714" s="163"/>
    </row>
    <row r="715" s="162" customFormat="1" ht="14.25">
      <c r="F715" s="163"/>
    </row>
    <row r="716" s="162" customFormat="1" ht="14.25">
      <c r="F716" s="163"/>
    </row>
    <row r="717" s="162" customFormat="1" ht="14.25">
      <c r="F717" s="163"/>
    </row>
    <row r="718" s="162" customFormat="1" ht="14.25">
      <c r="F718" s="163"/>
    </row>
    <row r="719" s="162" customFormat="1" ht="14.25">
      <c r="F719" s="163"/>
    </row>
    <row r="720" s="162" customFormat="1" ht="14.25">
      <c r="F720" s="163"/>
    </row>
    <row r="721" s="162" customFormat="1" ht="14.25">
      <c r="F721" s="163"/>
    </row>
    <row r="722" s="162" customFormat="1" ht="14.25">
      <c r="F722" s="163"/>
    </row>
    <row r="723" s="162" customFormat="1" ht="14.25">
      <c r="F723" s="163"/>
    </row>
    <row r="724" s="162" customFormat="1" ht="14.25">
      <c r="F724" s="163"/>
    </row>
    <row r="725" s="162" customFormat="1" ht="14.25">
      <c r="F725" s="163"/>
    </row>
    <row r="726" s="162" customFormat="1" ht="14.25">
      <c r="F726" s="163"/>
    </row>
    <row r="727" s="162" customFormat="1" ht="14.25">
      <c r="F727" s="163"/>
    </row>
    <row r="728" s="162" customFormat="1" ht="14.25">
      <c r="F728" s="163"/>
    </row>
    <row r="729" s="162" customFormat="1" ht="14.25">
      <c r="F729" s="163"/>
    </row>
    <row r="730" s="162" customFormat="1" ht="14.25">
      <c r="F730" s="163"/>
    </row>
    <row r="731" s="162" customFormat="1" ht="14.25">
      <c r="F731" s="163"/>
    </row>
    <row r="732" s="162" customFormat="1" ht="14.25">
      <c r="F732" s="163"/>
    </row>
    <row r="733" s="162" customFormat="1" ht="14.25">
      <c r="F733" s="163"/>
    </row>
    <row r="734" s="162" customFormat="1" ht="14.25">
      <c r="F734" s="163"/>
    </row>
    <row r="735" s="162" customFormat="1" ht="14.25">
      <c r="F735" s="163"/>
    </row>
    <row r="736" s="162" customFormat="1" ht="14.25">
      <c r="F736" s="163"/>
    </row>
    <row r="737" s="162" customFormat="1" ht="14.25">
      <c r="F737" s="163"/>
    </row>
    <row r="738" s="162" customFormat="1" ht="14.25">
      <c r="F738" s="163"/>
    </row>
    <row r="739" s="162" customFormat="1" ht="14.25">
      <c r="F739" s="163"/>
    </row>
    <row r="740" s="162" customFormat="1" ht="14.25">
      <c r="F740" s="163"/>
    </row>
    <row r="741" s="162" customFormat="1" ht="14.25">
      <c r="F741" s="163"/>
    </row>
    <row r="742" s="162" customFormat="1" ht="14.25">
      <c r="F742" s="163"/>
    </row>
    <row r="743" s="162" customFormat="1" ht="14.25">
      <c r="F743" s="163"/>
    </row>
    <row r="744" s="162" customFormat="1" ht="14.25">
      <c r="F744" s="163"/>
    </row>
    <row r="745" s="162" customFormat="1" ht="14.25">
      <c r="F745" s="163"/>
    </row>
    <row r="746" s="162" customFormat="1" ht="14.25">
      <c r="F746" s="163"/>
    </row>
    <row r="747" s="162" customFormat="1" ht="14.25">
      <c r="F747" s="163"/>
    </row>
    <row r="748" s="162" customFormat="1" ht="14.25">
      <c r="F748" s="163"/>
    </row>
    <row r="749" s="162" customFormat="1" ht="14.25">
      <c r="F749" s="163"/>
    </row>
    <row r="750" s="162" customFormat="1" ht="14.25">
      <c r="F750" s="163"/>
    </row>
    <row r="751" s="162" customFormat="1" ht="14.25">
      <c r="F751" s="163"/>
    </row>
    <row r="752" s="162" customFormat="1" ht="14.25">
      <c r="F752" s="163"/>
    </row>
    <row r="753" s="162" customFormat="1" ht="14.25">
      <c r="F753" s="163"/>
    </row>
    <row r="754" s="162" customFormat="1" ht="14.25">
      <c r="F754" s="163"/>
    </row>
    <row r="755" s="162" customFormat="1" ht="14.25">
      <c r="F755" s="163"/>
    </row>
    <row r="756" s="162" customFormat="1" ht="14.25">
      <c r="F756" s="163"/>
    </row>
    <row r="757" s="162" customFormat="1" ht="14.25">
      <c r="F757" s="163"/>
    </row>
    <row r="758" s="162" customFormat="1" ht="14.25">
      <c r="F758" s="163"/>
    </row>
    <row r="759" s="162" customFormat="1" ht="14.25">
      <c r="F759" s="163"/>
    </row>
    <row r="760" s="162" customFormat="1" ht="14.25">
      <c r="F760" s="163"/>
    </row>
    <row r="761" s="162" customFormat="1" ht="14.25">
      <c r="F761" s="163"/>
    </row>
    <row r="762" s="162" customFormat="1" ht="14.25">
      <c r="F762" s="163"/>
    </row>
    <row r="763" s="162" customFormat="1" ht="14.25">
      <c r="F763" s="163"/>
    </row>
    <row r="764" s="162" customFormat="1" ht="14.25">
      <c r="F764" s="163"/>
    </row>
    <row r="765" s="162" customFormat="1" ht="14.25">
      <c r="F765" s="163"/>
    </row>
    <row r="766" s="162" customFormat="1" ht="14.25">
      <c r="F766" s="163"/>
    </row>
    <row r="767" s="162" customFormat="1" ht="14.25">
      <c r="F767" s="163"/>
    </row>
    <row r="768" s="162" customFormat="1" ht="14.25">
      <c r="F768" s="163"/>
    </row>
    <row r="769" s="162" customFormat="1" ht="14.25">
      <c r="F769" s="163"/>
    </row>
    <row r="770" s="162" customFormat="1" ht="14.25">
      <c r="F770" s="163"/>
    </row>
    <row r="771" s="162" customFormat="1" ht="14.25">
      <c r="F771" s="163"/>
    </row>
    <row r="772" s="162" customFormat="1" ht="14.25">
      <c r="F772" s="163"/>
    </row>
    <row r="773" s="162" customFormat="1" ht="14.25">
      <c r="F773" s="163"/>
    </row>
    <row r="774" s="162" customFormat="1" ht="14.25">
      <c r="F774" s="163"/>
    </row>
    <row r="775" s="162" customFormat="1" ht="14.25">
      <c r="F775" s="163"/>
    </row>
    <row r="776" s="162" customFormat="1" ht="14.25">
      <c r="F776" s="163"/>
    </row>
    <row r="777" s="162" customFormat="1" ht="14.25">
      <c r="F777" s="163"/>
    </row>
    <row r="778" s="162" customFormat="1" ht="14.25">
      <c r="F778" s="163"/>
    </row>
    <row r="779" s="162" customFormat="1" ht="14.25">
      <c r="F779" s="163"/>
    </row>
    <row r="780" s="162" customFormat="1" ht="14.25">
      <c r="F780" s="163"/>
    </row>
    <row r="781" s="162" customFormat="1" ht="14.25">
      <c r="F781" s="163"/>
    </row>
    <row r="782" s="162" customFormat="1" ht="14.25">
      <c r="F782" s="163"/>
    </row>
    <row r="783" s="162" customFormat="1" ht="14.25">
      <c r="F783" s="163"/>
    </row>
    <row r="784" s="162" customFormat="1" ht="14.25">
      <c r="F784" s="163"/>
    </row>
    <row r="785" s="162" customFormat="1" ht="14.25">
      <c r="F785" s="163"/>
    </row>
    <row r="786" s="162" customFormat="1" ht="14.25">
      <c r="F786" s="163"/>
    </row>
    <row r="787" s="162" customFormat="1" ht="14.25">
      <c r="F787" s="163"/>
    </row>
    <row r="788" s="162" customFormat="1" ht="14.25">
      <c r="F788" s="163"/>
    </row>
    <row r="789" s="162" customFormat="1" ht="14.25">
      <c r="F789" s="163"/>
    </row>
    <row r="790" s="162" customFormat="1" ht="14.25">
      <c r="F790" s="163"/>
    </row>
    <row r="791" s="162" customFormat="1" ht="14.25">
      <c r="F791" s="163"/>
    </row>
    <row r="792" s="162" customFormat="1" ht="14.25">
      <c r="F792" s="163"/>
    </row>
    <row r="793" s="162" customFormat="1" ht="14.25">
      <c r="F793" s="163"/>
    </row>
    <row r="794" s="162" customFormat="1" ht="14.25">
      <c r="F794" s="163"/>
    </row>
    <row r="795" s="162" customFormat="1" ht="14.25">
      <c r="F795" s="163"/>
    </row>
    <row r="796" s="162" customFormat="1" ht="14.25">
      <c r="F796" s="163"/>
    </row>
    <row r="797" s="162" customFormat="1" ht="14.25">
      <c r="F797" s="163"/>
    </row>
    <row r="798" s="162" customFormat="1" ht="14.25">
      <c r="F798" s="163"/>
    </row>
    <row r="799" s="162" customFormat="1" ht="14.25">
      <c r="F799" s="163"/>
    </row>
    <row r="800" s="162" customFormat="1" ht="14.25">
      <c r="F800" s="163"/>
    </row>
    <row r="801" s="162" customFormat="1" ht="14.25">
      <c r="F801" s="163"/>
    </row>
    <row r="802" s="162" customFormat="1" ht="14.25">
      <c r="F802" s="163"/>
    </row>
    <row r="803" s="162" customFormat="1" ht="14.25">
      <c r="F803" s="163"/>
    </row>
    <row r="804" s="162" customFormat="1" ht="14.25">
      <c r="F804" s="163"/>
    </row>
    <row r="805" s="162" customFormat="1" ht="14.25">
      <c r="F805" s="163"/>
    </row>
    <row r="806" s="162" customFormat="1" ht="14.25">
      <c r="F806" s="163"/>
    </row>
    <row r="807" s="162" customFormat="1" ht="14.25">
      <c r="F807" s="163"/>
    </row>
    <row r="808" s="162" customFormat="1" ht="14.25">
      <c r="F808" s="163"/>
    </row>
    <row r="809" s="162" customFormat="1" ht="14.25">
      <c r="F809" s="163"/>
    </row>
    <row r="810" s="162" customFormat="1" ht="14.25">
      <c r="F810" s="163"/>
    </row>
    <row r="811" s="162" customFormat="1" ht="14.25">
      <c r="F811" s="163"/>
    </row>
    <row r="812" s="162" customFormat="1" ht="14.25">
      <c r="F812" s="163"/>
    </row>
    <row r="813" s="162" customFormat="1" ht="14.25">
      <c r="F813" s="163"/>
    </row>
    <row r="814" s="162" customFormat="1" ht="14.25">
      <c r="F814" s="163"/>
    </row>
    <row r="815" s="162" customFormat="1" ht="14.25">
      <c r="F815" s="163"/>
    </row>
    <row r="816" s="162" customFormat="1" ht="14.25">
      <c r="F816" s="163"/>
    </row>
    <row r="817" s="162" customFormat="1" ht="14.25">
      <c r="F817" s="163"/>
    </row>
    <row r="818" s="162" customFormat="1" ht="14.25">
      <c r="F818" s="163"/>
    </row>
    <row r="819" s="162" customFormat="1" ht="14.25">
      <c r="F819" s="163"/>
    </row>
    <row r="820" s="162" customFormat="1" ht="14.25">
      <c r="F820" s="163"/>
    </row>
    <row r="821" s="162" customFormat="1" ht="14.25">
      <c r="F821" s="163"/>
    </row>
    <row r="822" s="162" customFormat="1" ht="14.25">
      <c r="F822" s="163"/>
    </row>
    <row r="823" s="162" customFormat="1" ht="14.25">
      <c r="F823" s="163"/>
    </row>
    <row r="824" s="162" customFormat="1" ht="14.25">
      <c r="F824" s="163"/>
    </row>
    <row r="825" s="162" customFormat="1" ht="14.25">
      <c r="F825" s="163"/>
    </row>
    <row r="826" s="162" customFormat="1" ht="14.25">
      <c r="F826" s="163"/>
    </row>
    <row r="827" s="162" customFormat="1" ht="14.25">
      <c r="F827" s="163"/>
    </row>
    <row r="828" s="162" customFormat="1" ht="14.25">
      <c r="F828" s="163"/>
    </row>
    <row r="829" s="162" customFormat="1" ht="14.25">
      <c r="F829" s="163"/>
    </row>
    <row r="830" s="162" customFormat="1" ht="14.25">
      <c r="F830" s="163"/>
    </row>
    <row r="831" s="162" customFormat="1" ht="14.25">
      <c r="F831" s="163"/>
    </row>
    <row r="832" s="162" customFormat="1" ht="14.25">
      <c r="F832" s="163"/>
    </row>
    <row r="833" s="162" customFormat="1" ht="14.25">
      <c r="F833" s="163"/>
    </row>
    <row r="834" s="162" customFormat="1" ht="14.25">
      <c r="F834" s="163"/>
    </row>
    <row r="835" s="162" customFormat="1" ht="14.25">
      <c r="F835" s="163"/>
    </row>
    <row r="836" s="162" customFormat="1" ht="14.25">
      <c r="F836" s="163"/>
    </row>
    <row r="837" s="162" customFormat="1" ht="14.25">
      <c r="F837" s="163"/>
    </row>
    <row r="838" s="162" customFormat="1" ht="14.25">
      <c r="F838" s="163"/>
    </row>
    <row r="839" s="162" customFormat="1" ht="14.25">
      <c r="F839" s="163"/>
    </row>
    <row r="840" s="162" customFormat="1" ht="14.25">
      <c r="F840" s="163"/>
    </row>
    <row r="841" s="162" customFormat="1" ht="14.25">
      <c r="F841" s="163"/>
    </row>
    <row r="842" s="162" customFormat="1" ht="14.25">
      <c r="F842" s="163"/>
    </row>
    <row r="843" s="162" customFormat="1" ht="14.25">
      <c r="F843" s="163"/>
    </row>
    <row r="844" s="162" customFormat="1" ht="14.25">
      <c r="F844" s="163"/>
    </row>
    <row r="845" s="162" customFormat="1" ht="14.25">
      <c r="F845" s="163"/>
    </row>
    <row r="846" s="162" customFormat="1" ht="14.25">
      <c r="F846" s="163"/>
    </row>
    <row r="847" s="162" customFormat="1" ht="14.25">
      <c r="F847" s="163"/>
    </row>
    <row r="848" s="162" customFormat="1" ht="14.25">
      <c r="F848" s="163"/>
    </row>
    <row r="849" s="162" customFormat="1" ht="14.25">
      <c r="F849" s="163"/>
    </row>
    <row r="850" s="162" customFormat="1" ht="14.25">
      <c r="F850" s="163"/>
    </row>
    <row r="851" s="162" customFormat="1" ht="14.25">
      <c r="F851" s="163"/>
    </row>
    <row r="852" s="162" customFormat="1" ht="14.25">
      <c r="F852" s="163"/>
    </row>
    <row r="853" s="162" customFormat="1" ht="14.25">
      <c r="F853" s="163"/>
    </row>
    <row r="854" s="162" customFormat="1" ht="14.25">
      <c r="F854" s="163"/>
    </row>
    <row r="855" s="162" customFormat="1" ht="14.25">
      <c r="F855" s="163"/>
    </row>
    <row r="856" s="162" customFormat="1" ht="14.25">
      <c r="F856" s="163"/>
    </row>
    <row r="857" s="162" customFormat="1" ht="14.25">
      <c r="F857" s="163"/>
    </row>
    <row r="858" s="162" customFormat="1" ht="14.25">
      <c r="F858" s="163"/>
    </row>
    <row r="859" s="162" customFormat="1" ht="14.25">
      <c r="F859" s="163"/>
    </row>
    <row r="860" s="162" customFormat="1" ht="14.25">
      <c r="F860" s="163"/>
    </row>
    <row r="861" s="162" customFormat="1" ht="14.25">
      <c r="F861" s="163"/>
    </row>
    <row r="862" s="162" customFormat="1" ht="14.25">
      <c r="F862" s="163"/>
    </row>
    <row r="863" s="162" customFormat="1" ht="14.25">
      <c r="F863" s="163"/>
    </row>
    <row r="864" s="162" customFormat="1" ht="14.25">
      <c r="F864" s="163"/>
    </row>
    <row r="865" s="162" customFormat="1" ht="14.25">
      <c r="F865" s="163"/>
    </row>
    <row r="866" s="162" customFormat="1" ht="14.25">
      <c r="F866" s="163"/>
    </row>
    <row r="867" s="162" customFormat="1" ht="14.25">
      <c r="F867" s="163"/>
    </row>
    <row r="868" s="162" customFormat="1" ht="14.25">
      <c r="F868" s="163"/>
    </row>
    <row r="869" s="162" customFormat="1" ht="14.25">
      <c r="F869" s="163"/>
    </row>
    <row r="870" s="162" customFormat="1" ht="14.25">
      <c r="F870" s="163"/>
    </row>
    <row r="871" s="162" customFormat="1" ht="14.25">
      <c r="F871" s="163"/>
    </row>
    <row r="872" s="162" customFormat="1" ht="14.25">
      <c r="F872" s="163"/>
    </row>
    <row r="873" s="162" customFormat="1" ht="14.25">
      <c r="F873" s="163"/>
    </row>
    <row r="874" s="162" customFormat="1" ht="14.25">
      <c r="F874" s="163"/>
    </row>
    <row r="875" s="162" customFormat="1" ht="14.25">
      <c r="F875" s="163"/>
    </row>
    <row r="876" s="162" customFormat="1" ht="14.25">
      <c r="F876" s="163"/>
    </row>
    <row r="877" s="162" customFormat="1" ht="14.25">
      <c r="F877" s="163"/>
    </row>
    <row r="878" s="162" customFormat="1" ht="14.25">
      <c r="F878" s="163"/>
    </row>
    <row r="879" s="162" customFormat="1" ht="14.25">
      <c r="F879" s="163"/>
    </row>
    <row r="880" s="162" customFormat="1" ht="14.25">
      <c r="F880" s="163"/>
    </row>
    <row r="881" s="162" customFormat="1" ht="14.25">
      <c r="F881" s="163"/>
    </row>
    <row r="882" s="162" customFormat="1" ht="14.25">
      <c r="F882" s="163"/>
    </row>
    <row r="883" s="162" customFormat="1" ht="14.25">
      <c r="F883" s="163"/>
    </row>
    <row r="884" s="162" customFormat="1" ht="14.25">
      <c r="F884" s="163"/>
    </row>
    <row r="885" s="162" customFormat="1" ht="14.25">
      <c r="F885" s="163"/>
    </row>
    <row r="886" s="162" customFormat="1" ht="14.25">
      <c r="F886" s="163"/>
    </row>
    <row r="887" s="162" customFormat="1" ht="14.25">
      <c r="F887" s="163"/>
    </row>
    <row r="888" s="162" customFormat="1" ht="14.25">
      <c r="F888" s="163"/>
    </row>
    <row r="889" s="162" customFormat="1" ht="14.25">
      <c r="F889" s="163"/>
    </row>
    <row r="890" s="162" customFormat="1" ht="14.25">
      <c r="F890" s="163"/>
    </row>
    <row r="891" s="162" customFormat="1" ht="14.25">
      <c r="F891" s="163"/>
    </row>
    <row r="892" s="162" customFormat="1" ht="14.25">
      <c r="F892" s="163"/>
    </row>
    <row r="893" s="162" customFormat="1" ht="14.25">
      <c r="F893" s="163"/>
    </row>
    <row r="894" s="162" customFormat="1" ht="14.25">
      <c r="F894" s="163"/>
    </row>
    <row r="895" s="162" customFormat="1" ht="14.25">
      <c r="F895" s="163"/>
    </row>
    <row r="896" s="162" customFormat="1" ht="14.25">
      <c r="F896" s="163"/>
    </row>
    <row r="897" s="162" customFormat="1" ht="14.25">
      <c r="F897" s="163"/>
    </row>
    <row r="898" s="162" customFormat="1" ht="14.25">
      <c r="F898" s="163"/>
    </row>
    <row r="899" s="162" customFormat="1" ht="14.25">
      <c r="F899" s="163"/>
    </row>
    <row r="900" s="162" customFormat="1" ht="14.25">
      <c r="F900" s="163"/>
    </row>
    <row r="901" s="162" customFormat="1" ht="14.25">
      <c r="F901" s="163"/>
    </row>
    <row r="902" s="162" customFormat="1" ht="14.25">
      <c r="F902" s="163"/>
    </row>
    <row r="903" s="162" customFormat="1" ht="14.25">
      <c r="F903" s="163"/>
    </row>
    <row r="904" s="162" customFormat="1" ht="14.25">
      <c r="F904" s="163"/>
    </row>
    <row r="905" s="162" customFormat="1" ht="14.25">
      <c r="F905" s="163"/>
    </row>
    <row r="906" s="162" customFormat="1" ht="14.25">
      <c r="F906" s="163"/>
    </row>
    <row r="907" s="162" customFormat="1" ht="14.25">
      <c r="F907" s="163"/>
    </row>
    <row r="908" s="162" customFormat="1" ht="14.25">
      <c r="F908" s="163"/>
    </row>
    <row r="909" s="162" customFormat="1" ht="14.25">
      <c r="F909" s="163"/>
    </row>
    <row r="910" s="162" customFormat="1" ht="14.25">
      <c r="F910" s="163"/>
    </row>
    <row r="911" s="162" customFormat="1" ht="14.25">
      <c r="F911" s="163"/>
    </row>
    <row r="912" s="162" customFormat="1" ht="14.25">
      <c r="F912" s="163"/>
    </row>
    <row r="913" s="162" customFormat="1" ht="14.25">
      <c r="F913" s="163"/>
    </row>
    <row r="914" s="162" customFormat="1" ht="14.25">
      <c r="F914" s="163"/>
    </row>
    <row r="915" s="162" customFormat="1" ht="14.25">
      <c r="F915" s="163"/>
    </row>
    <row r="916" s="162" customFormat="1" ht="14.25">
      <c r="F916" s="163"/>
    </row>
    <row r="917" s="162" customFormat="1" ht="14.25">
      <c r="F917" s="163"/>
    </row>
    <row r="918" s="162" customFormat="1" ht="14.25">
      <c r="F918" s="163"/>
    </row>
    <row r="919" s="162" customFormat="1" ht="14.25">
      <c r="F919" s="163"/>
    </row>
    <row r="920" s="162" customFormat="1" ht="14.25">
      <c r="F920" s="163"/>
    </row>
    <row r="921" s="162" customFormat="1" ht="14.25">
      <c r="F921" s="163"/>
    </row>
    <row r="922" s="162" customFormat="1" ht="14.25">
      <c r="F922" s="163"/>
    </row>
    <row r="923" s="162" customFormat="1" ht="14.25">
      <c r="F923" s="163"/>
    </row>
    <row r="924" s="162" customFormat="1" ht="14.25">
      <c r="F924" s="163"/>
    </row>
    <row r="925" s="162" customFormat="1" ht="14.25">
      <c r="F925" s="163"/>
    </row>
    <row r="926" s="162" customFormat="1" ht="14.25">
      <c r="F926" s="163"/>
    </row>
    <row r="927" s="162" customFormat="1" ht="14.25">
      <c r="F927" s="163"/>
    </row>
    <row r="928" s="162" customFormat="1" ht="14.25">
      <c r="F928" s="163"/>
    </row>
    <row r="929" s="162" customFormat="1" ht="14.25">
      <c r="F929" s="163"/>
    </row>
    <row r="930" s="162" customFormat="1" ht="14.25">
      <c r="F930" s="163"/>
    </row>
    <row r="931" s="162" customFormat="1" ht="14.25">
      <c r="F931" s="163"/>
    </row>
    <row r="932" s="162" customFormat="1" ht="14.25">
      <c r="F932" s="163"/>
    </row>
    <row r="933" s="162" customFormat="1" ht="14.25">
      <c r="F933" s="163"/>
    </row>
    <row r="934" s="162" customFormat="1" ht="14.25">
      <c r="F934" s="163"/>
    </row>
    <row r="935" s="162" customFormat="1" ht="14.25">
      <c r="F935" s="163"/>
    </row>
    <row r="936" s="162" customFormat="1" ht="14.25">
      <c r="F936" s="163"/>
    </row>
    <row r="937" s="162" customFormat="1" ht="14.25">
      <c r="F937" s="163"/>
    </row>
    <row r="938" s="162" customFormat="1" ht="14.25">
      <c r="F938" s="163"/>
    </row>
    <row r="939" s="162" customFormat="1" ht="14.25">
      <c r="F939" s="163"/>
    </row>
    <row r="940" s="162" customFormat="1" ht="14.25">
      <c r="F940" s="163"/>
    </row>
    <row r="941" s="162" customFormat="1" ht="14.25">
      <c r="F941" s="163"/>
    </row>
    <row r="942" s="162" customFormat="1" ht="14.25">
      <c r="F942" s="163"/>
    </row>
    <row r="943" s="162" customFormat="1" ht="14.25">
      <c r="F943" s="163"/>
    </row>
    <row r="944" s="162" customFormat="1" ht="14.25">
      <c r="F944" s="163"/>
    </row>
    <row r="945" s="162" customFormat="1" ht="14.25">
      <c r="F945" s="163"/>
    </row>
    <row r="946" s="162" customFormat="1" ht="14.25">
      <c r="F946" s="163"/>
    </row>
    <row r="947" s="162" customFormat="1" ht="14.25">
      <c r="F947" s="163"/>
    </row>
    <row r="948" s="162" customFormat="1" ht="14.25">
      <c r="F948" s="163"/>
    </row>
    <row r="949" s="162" customFormat="1" ht="14.25">
      <c r="F949" s="163"/>
    </row>
    <row r="950" s="162" customFormat="1" ht="14.25">
      <c r="F950" s="163"/>
    </row>
    <row r="951" s="162" customFormat="1" ht="14.25">
      <c r="F951" s="163"/>
    </row>
    <row r="952" s="162" customFormat="1" ht="14.25">
      <c r="F952" s="163"/>
    </row>
    <row r="953" s="162" customFormat="1" ht="14.25">
      <c r="F953" s="163"/>
    </row>
    <row r="954" s="162" customFormat="1" ht="14.25">
      <c r="F954" s="163"/>
    </row>
    <row r="955" s="162" customFormat="1" ht="14.25">
      <c r="F955" s="163"/>
    </row>
    <row r="956" s="162" customFormat="1" ht="14.25">
      <c r="F956" s="163"/>
    </row>
    <row r="957" s="162" customFormat="1" ht="14.25">
      <c r="F957" s="163"/>
    </row>
    <row r="958" s="162" customFormat="1" ht="14.25">
      <c r="F958" s="163"/>
    </row>
    <row r="959" s="162" customFormat="1" ht="14.25">
      <c r="F959" s="163"/>
    </row>
    <row r="960" s="162" customFormat="1" ht="14.25">
      <c r="F960" s="163"/>
    </row>
    <row r="961" s="162" customFormat="1" ht="14.25">
      <c r="F961" s="163"/>
    </row>
    <row r="962" s="162" customFormat="1" ht="14.25">
      <c r="F962" s="163"/>
    </row>
    <row r="963" s="162" customFormat="1" ht="14.25">
      <c r="F963" s="163"/>
    </row>
    <row r="964" s="162" customFormat="1" ht="14.25">
      <c r="F964" s="163"/>
    </row>
    <row r="965" s="162" customFormat="1" ht="14.25">
      <c r="F965" s="163"/>
    </row>
    <row r="966" s="162" customFormat="1" ht="14.25">
      <c r="F966" s="163"/>
    </row>
    <row r="967" s="162" customFormat="1" ht="14.25">
      <c r="F967" s="163"/>
    </row>
    <row r="968" s="162" customFormat="1" ht="14.25">
      <c r="F968" s="163"/>
    </row>
    <row r="969" s="162" customFormat="1" ht="14.25">
      <c r="F969" s="163"/>
    </row>
    <row r="970" s="162" customFormat="1" ht="14.25">
      <c r="F970" s="163"/>
    </row>
    <row r="971" s="162" customFormat="1" ht="14.25">
      <c r="F971" s="163"/>
    </row>
    <row r="972" s="162" customFormat="1" ht="14.25">
      <c r="F972" s="163"/>
    </row>
    <row r="973" s="162" customFormat="1" ht="14.25">
      <c r="F973" s="163"/>
    </row>
    <row r="974" s="162" customFormat="1" ht="14.25">
      <c r="F974" s="163"/>
    </row>
    <row r="975" s="162" customFormat="1" ht="14.25">
      <c r="F975" s="163"/>
    </row>
    <row r="976" s="162" customFormat="1" ht="14.25">
      <c r="F976" s="163"/>
    </row>
    <row r="977" s="162" customFormat="1" ht="14.25">
      <c r="F977" s="163"/>
    </row>
    <row r="978" s="162" customFormat="1" ht="14.25">
      <c r="F978" s="163"/>
    </row>
    <row r="979" s="162" customFormat="1" ht="14.25">
      <c r="F979" s="163"/>
    </row>
    <row r="980" s="162" customFormat="1" ht="14.25">
      <c r="F980" s="163"/>
    </row>
    <row r="981" s="162" customFormat="1" ht="14.25">
      <c r="F981" s="163"/>
    </row>
    <row r="982" s="162" customFormat="1" ht="14.25">
      <c r="F982" s="163"/>
    </row>
    <row r="983" s="162" customFormat="1" ht="14.25">
      <c r="F983" s="163"/>
    </row>
    <row r="984" s="162" customFormat="1" ht="14.25">
      <c r="F984" s="163"/>
    </row>
    <row r="985" s="162" customFormat="1" ht="14.25">
      <c r="F985" s="163"/>
    </row>
    <row r="986" s="162" customFormat="1" ht="14.25">
      <c r="F986" s="163"/>
    </row>
    <row r="987" s="162" customFormat="1" ht="14.25">
      <c r="F987" s="163"/>
    </row>
    <row r="988" s="162" customFormat="1" ht="14.25">
      <c r="F988" s="163"/>
    </row>
    <row r="989" s="162" customFormat="1" ht="14.25">
      <c r="F989" s="163"/>
    </row>
    <row r="990" s="162" customFormat="1" ht="14.25">
      <c r="F990" s="163"/>
    </row>
    <row r="991" s="162" customFormat="1" ht="14.25">
      <c r="F991" s="163"/>
    </row>
    <row r="992" s="162" customFormat="1" ht="14.25">
      <c r="F992" s="163"/>
    </row>
    <row r="993" s="162" customFormat="1" ht="14.25">
      <c r="F993" s="163"/>
    </row>
    <row r="994" s="162" customFormat="1" ht="14.25">
      <c r="F994" s="163"/>
    </row>
    <row r="995" s="162" customFormat="1" ht="14.25">
      <c r="F995" s="163"/>
    </row>
    <row r="996" s="162" customFormat="1" ht="14.25">
      <c r="F996" s="163"/>
    </row>
    <row r="997" s="162" customFormat="1" ht="14.25">
      <c r="F997" s="163"/>
    </row>
    <row r="998" s="162" customFormat="1" ht="14.25">
      <c r="F998" s="163"/>
    </row>
    <row r="999" s="162" customFormat="1" ht="14.25">
      <c r="F999" s="163"/>
    </row>
    <row r="1000" s="162" customFormat="1" ht="14.25">
      <c r="F1000" s="163"/>
    </row>
    <row r="1001" s="162" customFormat="1" ht="14.25">
      <c r="F1001" s="163"/>
    </row>
    <row r="1002" s="162" customFormat="1" ht="14.25">
      <c r="F1002" s="163"/>
    </row>
    <row r="1003" s="162" customFormat="1" ht="14.25">
      <c r="F1003" s="163"/>
    </row>
    <row r="1004" s="162" customFormat="1" ht="14.25">
      <c r="F1004" s="163"/>
    </row>
    <row r="1005" s="162" customFormat="1" ht="14.25">
      <c r="F1005" s="163"/>
    </row>
    <row r="1006" s="162" customFormat="1" ht="14.25">
      <c r="F1006" s="163"/>
    </row>
    <row r="1007" s="162" customFormat="1" ht="14.25">
      <c r="F1007" s="163"/>
    </row>
    <row r="1008" s="162" customFormat="1" ht="14.25">
      <c r="F1008" s="163"/>
    </row>
    <row r="1009" s="162" customFormat="1" ht="14.25">
      <c r="F1009" s="163"/>
    </row>
    <row r="1010" s="162" customFormat="1" ht="14.25">
      <c r="F1010" s="163"/>
    </row>
    <row r="1011" s="162" customFormat="1" ht="14.25">
      <c r="F1011" s="163"/>
    </row>
    <row r="1012" s="162" customFormat="1" ht="14.25">
      <c r="F1012" s="163"/>
    </row>
    <row r="1013" s="162" customFormat="1" ht="14.25">
      <c r="F1013" s="163"/>
    </row>
    <row r="1014" s="162" customFormat="1" ht="14.25">
      <c r="F1014" s="163"/>
    </row>
    <row r="1015" s="162" customFormat="1" ht="14.25">
      <c r="F1015" s="163"/>
    </row>
    <row r="1016" s="162" customFormat="1" ht="14.25">
      <c r="F1016" s="163"/>
    </row>
    <row r="1017" s="162" customFormat="1" ht="14.25">
      <c r="F1017" s="163"/>
    </row>
    <row r="1018" s="162" customFormat="1" ht="14.25">
      <c r="F1018" s="163"/>
    </row>
    <row r="1019" s="162" customFormat="1" ht="14.25">
      <c r="F1019" s="163"/>
    </row>
    <row r="1020" s="162" customFormat="1" ht="14.25">
      <c r="F1020" s="163"/>
    </row>
    <row r="1021" s="162" customFormat="1" ht="14.25">
      <c r="F1021" s="163"/>
    </row>
    <row r="1022" s="162" customFormat="1" ht="14.25">
      <c r="F1022" s="163"/>
    </row>
    <row r="1023" s="162" customFormat="1" ht="14.25">
      <c r="F1023" s="163"/>
    </row>
    <row r="1024" s="162" customFormat="1" ht="14.25">
      <c r="F1024" s="163"/>
    </row>
    <row r="1025" s="162" customFormat="1" ht="14.25">
      <c r="F1025" s="163"/>
    </row>
    <row r="1026" s="162" customFormat="1" ht="14.25">
      <c r="F1026" s="163"/>
    </row>
    <row r="1027" s="162" customFormat="1" ht="14.25">
      <c r="F1027" s="163"/>
    </row>
    <row r="1028" s="162" customFormat="1" ht="14.25">
      <c r="F1028" s="163"/>
    </row>
    <row r="1029" s="162" customFormat="1" ht="14.25">
      <c r="F1029" s="163"/>
    </row>
    <row r="1030" s="162" customFormat="1" ht="14.25">
      <c r="F1030" s="163"/>
    </row>
    <row r="1031" s="162" customFormat="1" ht="14.25">
      <c r="F1031" s="163"/>
    </row>
    <row r="1032" s="162" customFormat="1" ht="14.25">
      <c r="F1032" s="163"/>
    </row>
    <row r="1033" s="162" customFormat="1" ht="14.25">
      <c r="F1033" s="163"/>
    </row>
    <row r="1034" s="162" customFormat="1" ht="14.25">
      <c r="F1034" s="163"/>
    </row>
    <row r="1035" s="162" customFormat="1" ht="14.25">
      <c r="F1035" s="163"/>
    </row>
    <row r="1036" s="162" customFormat="1" ht="14.25">
      <c r="F1036" s="163"/>
    </row>
    <row r="1037" s="162" customFormat="1" ht="14.25">
      <c r="F1037" s="163"/>
    </row>
    <row r="1038" s="162" customFormat="1" ht="14.25">
      <c r="F1038" s="163"/>
    </row>
    <row r="1039" s="162" customFormat="1" ht="14.25">
      <c r="F1039" s="163"/>
    </row>
    <row r="1040" s="162" customFormat="1" ht="14.25">
      <c r="F1040" s="163"/>
    </row>
    <row r="1041" s="162" customFormat="1" ht="14.25">
      <c r="F1041" s="163"/>
    </row>
    <row r="1042" s="162" customFormat="1" ht="14.25">
      <c r="F1042" s="163"/>
    </row>
    <row r="1043" s="162" customFormat="1" ht="14.25">
      <c r="F1043" s="163"/>
    </row>
    <row r="1044" s="162" customFormat="1" ht="14.25">
      <c r="F1044" s="163"/>
    </row>
    <row r="1045" s="162" customFormat="1" ht="14.25">
      <c r="F1045" s="163"/>
    </row>
    <row r="1046" s="162" customFormat="1" ht="14.25">
      <c r="F1046" s="163"/>
    </row>
    <row r="1047" s="162" customFormat="1" ht="14.25">
      <c r="F1047" s="163"/>
    </row>
    <row r="1048" s="162" customFormat="1" ht="14.25">
      <c r="F1048" s="163"/>
    </row>
    <row r="1049" s="162" customFormat="1" ht="14.25">
      <c r="F1049" s="163"/>
    </row>
    <row r="1050" s="162" customFormat="1" ht="14.25">
      <c r="F1050" s="163"/>
    </row>
    <row r="1051" s="162" customFormat="1" ht="14.25">
      <c r="F1051" s="163"/>
    </row>
    <row r="1052" s="162" customFormat="1" ht="14.25">
      <c r="F1052" s="163"/>
    </row>
    <row r="1053" s="162" customFormat="1" ht="14.25">
      <c r="F1053" s="163"/>
    </row>
    <row r="1054" s="162" customFormat="1" ht="14.25">
      <c r="F1054" s="163"/>
    </row>
    <row r="1055" s="162" customFormat="1" ht="14.25">
      <c r="F1055" s="163"/>
    </row>
    <row r="1056" s="162" customFormat="1" ht="14.25">
      <c r="F1056" s="163"/>
    </row>
    <row r="1057" s="162" customFormat="1" ht="14.25">
      <c r="F1057" s="163"/>
    </row>
    <row r="1058" s="162" customFormat="1" ht="14.25">
      <c r="F1058" s="163"/>
    </row>
    <row r="1059" s="162" customFormat="1" ht="14.25">
      <c r="F1059" s="163"/>
    </row>
    <row r="1060" s="162" customFormat="1" ht="14.25">
      <c r="F1060" s="163"/>
    </row>
    <row r="1061" s="162" customFormat="1" ht="14.25">
      <c r="F1061" s="163"/>
    </row>
    <row r="1062" s="162" customFormat="1" ht="14.25">
      <c r="F1062" s="163"/>
    </row>
    <row r="1063" s="162" customFormat="1" ht="14.25">
      <c r="F1063" s="163"/>
    </row>
    <row r="1064" s="162" customFormat="1" ht="14.25">
      <c r="F1064" s="163"/>
    </row>
    <row r="1065" s="162" customFormat="1" ht="14.25">
      <c r="F1065" s="163"/>
    </row>
    <row r="1066" s="162" customFormat="1" ht="14.25">
      <c r="F1066" s="163"/>
    </row>
    <row r="1067" s="162" customFormat="1" ht="14.25">
      <c r="F1067" s="163"/>
    </row>
    <row r="1068" s="162" customFormat="1" ht="14.25">
      <c r="F1068" s="163"/>
    </row>
    <row r="1069" s="162" customFormat="1" ht="14.25">
      <c r="F1069" s="163"/>
    </row>
    <row r="1070" s="162" customFormat="1" ht="14.25">
      <c r="F1070" s="163"/>
    </row>
    <row r="1071" s="162" customFormat="1" ht="14.25">
      <c r="F1071" s="163"/>
    </row>
    <row r="1072" s="162" customFormat="1" ht="14.25">
      <c r="F1072" s="163"/>
    </row>
    <row r="1073" s="162" customFormat="1" ht="14.25">
      <c r="F1073" s="163"/>
    </row>
    <row r="1074" s="162" customFormat="1" ht="14.25">
      <c r="F1074" s="163"/>
    </row>
    <row r="1075" s="162" customFormat="1" ht="14.25">
      <c r="F1075" s="163"/>
    </row>
    <row r="1076" s="162" customFormat="1" ht="14.25">
      <c r="F1076" s="163"/>
    </row>
    <row r="1077" s="162" customFormat="1" ht="14.25">
      <c r="F1077" s="163"/>
    </row>
    <row r="1078" s="162" customFormat="1" ht="14.25">
      <c r="F1078" s="163"/>
    </row>
    <row r="1079" s="162" customFormat="1" ht="14.25">
      <c r="F1079" s="163"/>
    </row>
    <row r="1080" s="162" customFormat="1" ht="12.75"/>
    <row r="1081" s="162" customFormat="1" ht="12.75"/>
    <row r="1082" s="162" customFormat="1" ht="12.75"/>
    <row r="1083" s="162" customFormat="1" ht="12.75"/>
    <row r="1084" s="162" customFormat="1" ht="12.75"/>
    <row r="1085" s="162" customFormat="1" ht="12.75"/>
    <row r="1086" s="162" customFormat="1" ht="12.75"/>
    <row r="1087" s="162" customFormat="1" ht="12.75"/>
    <row r="1088" s="162" customFormat="1" ht="12.75"/>
    <row r="1089" s="162" customFormat="1" ht="12.75"/>
    <row r="1090" s="162" customFormat="1" ht="12.75"/>
    <row r="1091" s="162" customFormat="1" ht="12.75"/>
    <row r="1092" s="162" customFormat="1" ht="12.75"/>
  </sheetData>
  <sheetProtection/>
  <mergeCells count="20">
    <mergeCell ref="G6:G8"/>
    <mergeCell ref="N6:N8"/>
    <mergeCell ref="O6:O8"/>
    <mergeCell ref="P6:P8"/>
    <mergeCell ref="H6:H8"/>
    <mergeCell ref="I6:I8"/>
    <mergeCell ref="J6:J8"/>
    <mergeCell ref="K6:K8"/>
    <mergeCell ref="L6:L8"/>
    <mergeCell ref="M6:M8"/>
    <mergeCell ref="N1:O1"/>
    <mergeCell ref="A3:O3"/>
    <mergeCell ref="M5:P5"/>
    <mergeCell ref="B5:B8"/>
    <mergeCell ref="C5:F5"/>
    <mergeCell ref="J5:L5"/>
    <mergeCell ref="C6:C8"/>
    <mergeCell ref="D6:D8"/>
    <mergeCell ref="E6:E8"/>
    <mergeCell ref="F6:F8"/>
  </mergeCells>
  <printOptions/>
  <pageMargins left="0.3937007874015748" right="0.1968503937007874" top="0.7874015748031497" bottom="0" header="0" footer="0"/>
  <pageSetup horizontalDpi="600" verticalDpi="6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view="pageBreakPreview" zoomScale="6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8.421875" style="161" customWidth="1"/>
    <col min="2" max="2" width="11.8515625" style="161" customWidth="1"/>
    <col min="3" max="3" width="10.8515625" style="161" customWidth="1"/>
    <col min="4" max="4" width="10.140625" style="161" customWidth="1"/>
    <col min="5" max="5" width="9.8515625" style="161" customWidth="1"/>
    <col min="6" max="6" width="9.7109375" style="161" customWidth="1"/>
    <col min="7" max="11" width="8.7109375" style="161" customWidth="1"/>
    <col min="12" max="12" width="10.421875" style="161" customWidth="1"/>
    <col min="13" max="13" width="9.421875" style="161" customWidth="1"/>
    <col min="14" max="14" width="9.00390625" style="161" customWidth="1"/>
    <col min="15" max="15" width="8.57421875" style="161" customWidth="1"/>
    <col min="16" max="16" width="11.140625" style="161" customWidth="1"/>
    <col min="17" max="17" width="10.00390625" style="161" customWidth="1"/>
    <col min="18" max="18" width="9.8515625" style="161" customWidth="1"/>
    <col min="19" max="16384" width="9.140625" style="161" customWidth="1"/>
  </cols>
  <sheetData>
    <row r="1" spans="1:19" ht="15.75">
      <c r="A1" s="183"/>
      <c r="B1" s="183"/>
      <c r="N1" s="181"/>
      <c r="R1" s="969" t="s">
        <v>409</v>
      </c>
      <c r="S1" s="969"/>
    </row>
    <row r="2" spans="1:15" ht="15.75">
      <c r="A2" s="183"/>
      <c r="B2" s="183"/>
      <c r="N2" s="181"/>
      <c r="O2" s="182"/>
    </row>
    <row r="3" spans="1:19" ht="46.5" customHeight="1">
      <c r="A3" s="970" t="s">
        <v>607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</row>
    <row r="4" spans="2:15" ht="15.75">
      <c r="B4" s="18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16" ht="16.5" thickBot="1">
      <c r="B5" s="18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9" ht="18.75" customHeight="1">
      <c r="A6" s="971" t="s">
        <v>391</v>
      </c>
      <c r="B6" s="972"/>
      <c r="C6" s="977" t="s">
        <v>390</v>
      </c>
      <c r="D6" s="977" t="s">
        <v>389</v>
      </c>
      <c r="E6" s="980" t="s">
        <v>388</v>
      </c>
      <c r="F6" s="849" t="s">
        <v>363</v>
      </c>
      <c r="G6" s="981" t="s">
        <v>387</v>
      </c>
      <c r="H6" s="981"/>
      <c r="I6" s="981"/>
      <c r="J6" s="981"/>
      <c r="K6" s="981"/>
      <c r="L6" s="981"/>
      <c r="M6" s="981"/>
      <c r="N6" s="981"/>
      <c r="O6" s="981"/>
      <c r="P6" s="981"/>
      <c r="Q6" s="982" t="s">
        <v>386</v>
      </c>
      <c r="R6" s="982"/>
      <c r="S6" s="850"/>
    </row>
    <row r="7" spans="1:19" ht="12.75" customHeight="1">
      <c r="A7" s="973"/>
      <c r="B7" s="974"/>
      <c r="C7" s="978"/>
      <c r="D7" s="978"/>
      <c r="E7" s="963"/>
      <c r="F7" s="963" t="s">
        <v>384</v>
      </c>
      <c r="G7" s="985" t="s">
        <v>383</v>
      </c>
      <c r="H7" s="985"/>
      <c r="I7" s="985"/>
      <c r="J7" s="985"/>
      <c r="K7" s="985"/>
      <c r="L7" s="985"/>
      <c r="M7" s="985"/>
      <c r="N7" s="985"/>
      <c r="O7" s="985"/>
      <c r="P7" s="985"/>
      <c r="Q7" s="983" t="s">
        <v>382</v>
      </c>
      <c r="R7" s="983" t="s">
        <v>381</v>
      </c>
      <c r="S7" s="967" t="s">
        <v>385</v>
      </c>
    </row>
    <row r="8" spans="1:19" ht="12.75" customHeight="1">
      <c r="A8" s="973"/>
      <c r="B8" s="974"/>
      <c r="C8" s="978"/>
      <c r="D8" s="978"/>
      <c r="E8" s="963"/>
      <c r="F8" s="963"/>
      <c r="G8" s="978" t="s">
        <v>380</v>
      </c>
      <c r="H8" s="978" t="s">
        <v>379</v>
      </c>
      <c r="I8" s="978" t="s">
        <v>378</v>
      </c>
      <c r="J8" s="978" t="s">
        <v>377</v>
      </c>
      <c r="K8" s="978" t="s">
        <v>376</v>
      </c>
      <c r="L8" s="978" t="s">
        <v>375</v>
      </c>
      <c r="M8" s="963" t="s">
        <v>374</v>
      </c>
      <c r="N8" s="978" t="s">
        <v>373</v>
      </c>
      <c r="O8" s="978" t="s">
        <v>372</v>
      </c>
      <c r="P8" s="963" t="s">
        <v>371</v>
      </c>
      <c r="Q8" s="983"/>
      <c r="R8" s="983"/>
      <c r="S8" s="967"/>
    </row>
    <row r="9" spans="1:19" ht="21.75" customHeight="1">
      <c r="A9" s="973"/>
      <c r="B9" s="974"/>
      <c r="C9" s="978"/>
      <c r="D9" s="978"/>
      <c r="E9" s="963"/>
      <c r="F9" s="963"/>
      <c r="G9" s="978"/>
      <c r="H9" s="978"/>
      <c r="I9" s="978"/>
      <c r="J9" s="978"/>
      <c r="K9" s="978"/>
      <c r="L9" s="978"/>
      <c r="M9" s="963"/>
      <c r="N9" s="978"/>
      <c r="O9" s="978"/>
      <c r="P9" s="963"/>
      <c r="Q9" s="983"/>
      <c r="R9" s="983"/>
      <c r="S9" s="967"/>
    </row>
    <row r="10" spans="1:19" ht="23.25" customHeight="1" thickBot="1">
      <c r="A10" s="975"/>
      <c r="B10" s="976"/>
      <c r="C10" s="979"/>
      <c r="D10" s="979"/>
      <c r="E10" s="964"/>
      <c r="F10" s="964"/>
      <c r="G10" s="979"/>
      <c r="H10" s="979"/>
      <c r="I10" s="979"/>
      <c r="J10" s="979"/>
      <c r="K10" s="979"/>
      <c r="L10" s="979"/>
      <c r="M10" s="964"/>
      <c r="N10" s="979"/>
      <c r="O10" s="979"/>
      <c r="P10" s="964"/>
      <c r="Q10" s="984"/>
      <c r="R10" s="984"/>
      <c r="S10" s="968"/>
    </row>
    <row r="11" spans="1:19" s="162" customFormat="1" ht="16.5" customHeight="1">
      <c r="A11" s="989"/>
      <c r="B11" s="990"/>
      <c r="C11" s="990"/>
      <c r="D11" s="179"/>
      <c r="E11" s="178"/>
      <c r="F11" s="177"/>
      <c r="G11" s="177"/>
      <c r="H11" s="177"/>
      <c r="I11" s="177"/>
      <c r="J11" s="177"/>
      <c r="K11" s="177"/>
      <c r="L11" s="176"/>
      <c r="M11" s="177"/>
      <c r="N11" s="177"/>
      <c r="O11" s="176"/>
      <c r="R11" s="175"/>
      <c r="S11" s="174"/>
    </row>
    <row r="12" spans="1:19" ht="15.75" customHeight="1">
      <c r="A12" s="986" t="s">
        <v>591</v>
      </c>
      <c r="B12" s="986"/>
      <c r="C12" s="736">
        <v>590.1</v>
      </c>
      <c r="D12" s="736">
        <v>0</v>
      </c>
      <c r="E12" s="740">
        <v>27241</v>
      </c>
      <c r="F12" s="738">
        <v>27241</v>
      </c>
      <c r="G12" s="738">
        <v>19397</v>
      </c>
      <c r="H12" s="738">
        <v>2511</v>
      </c>
      <c r="I12" s="738">
        <v>711</v>
      </c>
      <c r="J12" s="738">
        <v>4</v>
      </c>
      <c r="K12" s="738">
        <v>43</v>
      </c>
      <c r="L12" s="738">
        <v>45</v>
      </c>
      <c r="M12" s="740">
        <v>22710</v>
      </c>
      <c r="N12" s="738">
        <v>2870</v>
      </c>
      <c r="O12" s="738">
        <v>1662</v>
      </c>
      <c r="P12" s="740">
        <v>4531</v>
      </c>
      <c r="Q12" s="738">
        <v>0</v>
      </c>
      <c r="R12" s="738">
        <v>0</v>
      </c>
      <c r="S12" s="776">
        <f>P12/G12*100</f>
        <v>23.35928236325205</v>
      </c>
    </row>
    <row r="13" spans="1:19" ht="15.75" customHeight="1">
      <c r="A13" s="986" t="s">
        <v>456</v>
      </c>
      <c r="B13" s="986"/>
      <c r="C13" s="749">
        <v>535.7</v>
      </c>
      <c r="D13" s="749">
        <v>0</v>
      </c>
      <c r="E13" s="750">
        <v>26677</v>
      </c>
      <c r="F13" s="751">
        <v>26677</v>
      </c>
      <c r="G13" s="751">
        <v>18655</v>
      </c>
      <c r="H13" s="751">
        <v>2856</v>
      </c>
      <c r="I13" s="751">
        <v>674</v>
      </c>
      <c r="J13" s="751">
        <v>4.050115784614346</v>
      </c>
      <c r="K13" s="751">
        <v>22.217228450362743</v>
      </c>
      <c r="L13" s="751">
        <v>46</v>
      </c>
      <c r="M13" s="750">
        <v>22258</v>
      </c>
      <c r="N13" s="751">
        <v>2828</v>
      </c>
      <c r="O13" s="751">
        <v>1591</v>
      </c>
      <c r="P13" s="750">
        <v>4418</v>
      </c>
      <c r="Q13" s="751">
        <v>0</v>
      </c>
      <c r="R13" s="751">
        <v>0</v>
      </c>
      <c r="S13" s="776">
        <f>P13/G13*100</f>
        <v>23.682658804610025</v>
      </c>
    </row>
    <row r="14" spans="1:19" s="851" customFormat="1" ht="15.75" customHeight="1">
      <c r="A14" s="987" t="s">
        <v>608</v>
      </c>
      <c r="B14" s="988"/>
      <c r="C14" s="752">
        <f aca="true" t="shared" si="0" ref="C14:R14">C12-C13</f>
        <v>54.39999999999998</v>
      </c>
      <c r="D14" s="753">
        <f t="shared" si="0"/>
        <v>0</v>
      </c>
      <c r="E14" s="754">
        <f t="shared" si="0"/>
        <v>564</v>
      </c>
      <c r="F14" s="754">
        <f t="shared" si="0"/>
        <v>564</v>
      </c>
      <c r="G14" s="754">
        <f t="shared" si="0"/>
        <v>742</v>
      </c>
      <c r="H14" s="754">
        <f t="shared" si="0"/>
        <v>-345</v>
      </c>
      <c r="I14" s="754">
        <f t="shared" si="0"/>
        <v>37</v>
      </c>
      <c r="J14" s="754">
        <f t="shared" si="0"/>
        <v>-0.05011578461434585</v>
      </c>
      <c r="K14" s="754">
        <f t="shared" si="0"/>
        <v>20.782771549637257</v>
      </c>
      <c r="L14" s="754">
        <f t="shared" si="0"/>
        <v>-1</v>
      </c>
      <c r="M14" s="754">
        <f t="shared" si="0"/>
        <v>452</v>
      </c>
      <c r="N14" s="754">
        <f t="shared" si="0"/>
        <v>42</v>
      </c>
      <c r="O14" s="754">
        <f t="shared" si="0"/>
        <v>71</v>
      </c>
      <c r="P14" s="754">
        <f t="shared" si="0"/>
        <v>113</v>
      </c>
      <c r="Q14" s="754">
        <f t="shared" si="0"/>
        <v>0</v>
      </c>
      <c r="R14" s="754">
        <f t="shared" si="0"/>
        <v>0</v>
      </c>
      <c r="S14" s="752">
        <f>S12-S13</f>
        <v>-0.3233764413579756</v>
      </c>
    </row>
    <row r="15" spans="1:19" s="851" customFormat="1" ht="15.75" customHeight="1">
      <c r="A15" s="987" t="s">
        <v>609</v>
      </c>
      <c r="B15" s="988"/>
      <c r="C15" s="752">
        <f>C12/C13*100</f>
        <v>110.15493746499907</v>
      </c>
      <c r="D15" s="752">
        <v>0</v>
      </c>
      <c r="E15" s="752">
        <f aca="true" t="shared" si="1" ref="E15:P15">E12/E13*100</f>
        <v>102.11418075495746</v>
      </c>
      <c r="F15" s="752">
        <f t="shared" si="1"/>
        <v>102.11418075495746</v>
      </c>
      <c r="G15" s="752">
        <f t="shared" si="1"/>
        <v>103.97748592870543</v>
      </c>
      <c r="H15" s="752">
        <f t="shared" si="1"/>
        <v>87.92016806722688</v>
      </c>
      <c r="I15" s="752">
        <f t="shared" si="1"/>
        <v>105.48961424332344</v>
      </c>
      <c r="J15" s="752">
        <v>100</v>
      </c>
      <c r="K15" s="752">
        <f t="shared" si="1"/>
        <v>193.54349304221128</v>
      </c>
      <c r="L15" s="752">
        <f t="shared" si="1"/>
        <v>97.82608695652173</v>
      </c>
      <c r="M15" s="752">
        <f t="shared" si="1"/>
        <v>102.03073052385659</v>
      </c>
      <c r="N15" s="752">
        <f t="shared" si="1"/>
        <v>101.48514851485149</v>
      </c>
      <c r="O15" s="752">
        <f t="shared" si="1"/>
        <v>104.46260213702074</v>
      </c>
      <c r="P15" s="752">
        <f t="shared" si="1"/>
        <v>102.55771842462653</v>
      </c>
      <c r="Q15" s="752">
        <v>0</v>
      </c>
      <c r="R15" s="752">
        <v>0</v>
      </c>
      <c r="S15" s="752">
        <f>S12/S13*100</f>
        <v>98.63454334234201</v>
      </c>
    </row>
    <row r="16" spans="3:4" ht="12.75">
      <c r="C16" s="173"/>
      <c r="D16" s="173"/>
    </row>
    <row r="17" spans="10:14" ht="12.75">
      <c r="J17" s="172"/>
      <c r="N17" s="172"/>
    </row>
  </sheetData>
  <sheetProtection/>
  <mergeCells count="28">
    <mergeCell ref="A13:B13"/>
    <mergeCell ref="A14:B14"/>
    <mergeCell ref="A15:B15"/>
    <mergeCell ref="A11:C11"/>
    <mergeCell ref="A12:B12"/>
    <mergeCell ref="M8:M10"/>
    <mergeCell ref="K8:K10"/>
    <mergeCell ref="L8:L10"/>
    <mergeCell ref="N8:N10"/>
    <mergeCell ref="O8:O10"/>
    <mergeCell ref="P8:P10"/>
    <mergeCell ref="F7:F10"/>
    <mergeCell ref="G7:P7"/>
    <mergeCell ref="Q7:Q10"/>
    <mergeCell ref="G8:G10"/>
    <mergeCell ref="H8:H10"/>
    <mergeCell ref="I8:I10"/>
    <mergeCell ref="J8:J10"/>
    <mergeCell ref="S7:S10"/>
    <mergeCell ref="R1:S1"/>
    <mergeCell ref="A3:S3"/>
    <mergeCell ref="A6:B10"/>
    <mergeCell ref="C6:C10"/>
    <mergeCell ref="D6:D10"/>
    <mergeCell ref="E6:E10"/>
    <mergeCell ref="G6:P6"/>
    <mergeCell ref="Q6:R6"/>
    <mergeCell ref="R7:R10"/>
  </mergeCells>
  <printOptions/>
  <pageMargins left="0.3937007874015748" right="0.3937007874015748" top="0.984251968503937" bottom="0.6299212598425197" header="0.35433070866141736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36"/>
  <sheetViews>
    <sheetView view="pageBreakPreview" zoomScale="60" zoomScalePageLayoutView="0" workbookViewId="0" topLeftCell="A1">
      <selection activeCell="G32" sqref="G32"/>
    </sheetView>
  </sheetViews>
  <sheetFormatPr defaultColWidth="9.140625" defaultRowHeight="12.75"/>
  <cols>
    <col min="1" max="1" width="4.421875" style="161" customWidth="1"/>
    <col min="2" max="2" width="18.00390625" style="161" customWidth="1"/>
    <col min="3" max="15" width="12.7109375" style="161" customWidth="1"/>
    <col min="16" max="16" width="8.57421875" style="161" customWidth="1"/>
    <col min="17" max="17" width="13.140625" style="161" customWidth="1"/>
    <col min="18" max="18" width="10.00390625" style="161" customWidth="1"/>
    <col min="19" max="19" width="9.7109375" style="161" customWidth="1"/>
    <col min="20" max="20" width="10.28125" style="161" customWidth="1"/>
    <col min="21" max="16384" width="9.140625" style="161" customWidth="1"/>
  </cols>
  <sheetData>
    <row r="1" spans="2:20" s="162" customFormat="1" ht="12.75">
      <c r="B1" s="168"/>
      <c r="C1" s="169"/>
      <c r="D1" s="169"/>
      <c r="E1" s="169"/>
      <c r="F1" s="169"/>
      <c r="G1" s="169"/>
      <c r="H1" s="168"/>
      <c r="I1" s="168"/>
      <c r="J1" s="169"/>
      <c r="K1" s="169"/>
      <c r="L1" s="169"/>
      <c r="M1" s="169"/>
      <c r="N1" s="169"/>
      <c r="O1" s="169"/>
      <c r="P1" s="168"/>
      <c r="Q1" s="168"/>
      <c r="R1" s="168"/>
      <c r="S1" s="168"/>
      <c r="T1" s="168"/>
    </row>
    <row r="3" spans="2:15" ht="15.75">
      <c r="B3" s="999"/>
      <c r="C3" s="999"/>
      <c r="D3" s="999"/>
      <c r="E3" s="185"/>
      <c r="N3" s="969" t="s">
        <v>447</v>
      </c>
      <c r="O3" s="969"/>
    </row>
    <row r="4" spans="2:19" ht="20.25">
      <c r="B4" s="1005" t="s">
        <v>623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801"/>
      <c r="Q4" s="801"/>
      <c r="R4" s="801"/>
      <c r="S4" s="801"/>
    </row>
    <row r="5" spans="2:19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2.75">
      <c r="B7" s="1000" t="s">
        <v>82</v>
      </c>
      <c r="C7" s="1003" t="s">
        <v>390</v>
      </c>
      <c r="D7" s="1004" t="s">
        <v>384</v>
      </c>
      <c r="E7" s="1006" t="s">
        <v>396</v>
      </c>
      <c r="F7" s="1006"/>
      <c r="G7" s="1006"/>
      <c r="H7" s="1006"/>
      <c r="I7" s="1006"/>
      <c r="J7" s="1006"/>
      <c r="K7" s="1006"/>
      <c r="L7" s="1006"/>
      <c r="M7" s="1006"/>
      <c r="N7" s="1006"/>
      <c r="O7" s="1003" t="s">
        <v>385</v>
      </c>
      <c r="P7"/>
      <c r="Q7"/>
      <c r="R7"/>
      <c r="S7"/>
    </row>
    <row r="8" spans="2:19" ht="12.75">
      <c r="B8" s="1001"/>
      <c r="C8" s="1003"/>
      <c r="D8" s="1004"/>
      <c r="E8" s="1003" t="s">
        <v>380</v>
      </c>
      <c r="F8" s="1003" t="s">
        <v>379</v>
      </c>
      <c r="G8" s="1003" t="s">
        <v>378</v>
      </c>
      <c r="H8" s="1003" t="s">
        <v>377</v>
      </c>
      <c r="I8" s="1003" t="s">
        <v>376</v>
      </c>
      <c r="J8" s="1003" t="s">
        <v>375</v>
      </c>
      <c r="K8" s="1004" t="s">
        <v>374</v>
      </c>
      <c r="L8" s="1003" t="s">
        <v>373</v>
      </c>
      <c r="M8" s="1003" t="s">
        <v>372</v>
      </c>
      <c r="N8" s="1004" t="s">
        <v>371</v>
      </c>
      <c r="O8" s="1003"/>
      <c r="P8"/>
      <c r="Q8"/>
      <c r="R8"/>
      <c r="S8"/>
    </row>
    <row r="9" spans="2:19" ht="12.75">
      <c r="B9" s="1001"/>
      <c r="C9" s="1003"/>
      <c r="D9" s="1004"/>
      <c r="E9" s="1003"/>
      <c r="F9" s="1003"/>
      <c r="G9" s="1003"/>
      <c r="H9" s="1003"/>
      <c r="I9" s="1003"/>
      <c r="J9" s="1003"/>
      <c r="K9" s="1004"/>
      <c r="L9" s="1003"/>
      <c r="M9" s="1003"/>
      <c r="N9" s="1004"/>
      <c r="O9" s="1003"/>
      <c r="P9"/>
      <c r="Q9"/>
      <c r="R9"/>
      <c r="S9"/>
    </row>
    <row r="10" spans="2:19" ht="12.75">
      <c r="B10" s="1002"/>
      <c r="C10" s="1003"/>
      <c r="D10" s="1004"/>
      <c r="E10" s="1003"/>
      <c r="F10" s="1003"/>
      <c r="G10" s="1003"/>
      <c r="H10" s="1003"/>
      <c r="I10" s="1003"/>
      <c r="J10" s="1003"/>
      <c r="K10" s="1004"/>
      <c r="L10" s="1003"/>
      <c r="M10" s="1003"/>
      <c r="N10" s="1004"/>
      <c r="O10" s="1003"/>
      <c r="P10"/>
      <c r="Q10"/>
      <c r="R10"/>
      <c r="S10"/>
    </row>
    <row r="11" spans="2:19" ht="18.75">
      <c r="B11" s="847" t="s">
        <v>392</v>
      </c>
      <c r="C11" s="765">
        <f>SUM(C12:C19)</f>
        <v>590.05</v>
      </c>
      <c r="D11" s="766">
        <v>27241.29</v>
      </c>
      <c r="E11" s="766">
        <v>19396.87</v>
      </c>
      <c r="F11" s="766">
        <v>2510.77</v>
      </c>
      <c r="G11" s="766">
        <v>711.36</v>
      </c>
      <c r="H11" s="766">
        <v>3.65</v>
      </c>
      <c r="I11" s="766">
        <v>42.73</v>
      </c>
      <c r="J11" s="766">
        <v>44.56</v>
      </c>
      <c r="K11" s="767">
        <v>22709.940000000002</v>
      </c>
      <c r="L11" s="766">
        <v>2869.52</v>
      </c>
      <c r="M11" s="766">
        <v>1661.84</v>
      </c>
      <c r="N11" s="767">
        <f>SUM(L11:M11)</f>
        <v>4531.36</v>
      </c>
      <c r="O11" s="765">
        <v>23.361294889330082</v>
      </c>
      <c r="P11" s="52"/>
      <c r="Q11" s="65"/>
      <c r="R11"/>
      <c r="S11"/>
    </row>
    <row r="12" spans="2:19" ht="15.75">
      <c r="B12" s="848" t="s">
        <v>18</v>
      </c>
      <c r="C12" s="769">
        <v>94.24</v>
      </c>
      <c r="D12" s="766">
        <v>24125.07</v>
      </c>
      <c r="E12" s="763">
        <v>18058.58</v>
      </c>
      <c r="F12" s="763">
        <v>1635.66</v>
      </c>
      <c r="G12" s="763">
        <v>196.66</v>
      </c>
      <c r="H12" s="763">
        <v>0</v>
      </c>
      <c r="I12" s="763">
        <v>61.81</v>
      </c>
      <c r="J12" s="763">
        <v>0</v>
      </c>
      <c r="K12" s="767">
        <v>19952.710000000003</v>
      </c>
      <c r="L12" s="763">
        <v>2798.08</v>
      </c>
      <c r="M12" s="763">
        <v>1374.28</v>
      </c>
      <c r="N12" s="767">
        <f aca="true" t="shared" si="0" ref="N12:N19">SUM(L12:M12)</f>
        <v>4172.36</v>
      </c>
      <c r="O12" s="770">
        <v>23.10458518886867</v>
      </c>
      <c r="P12"/>
      <c r="Q12"/>
      <c r="R12"/>
      <c r="S12"/>
    </row>
    <row r="13" spans="2:19" ht="15.75">
      <c r="B13" s="848" t="s">
        <v>194</v>
      </c>
      <c r="C13" s="769">
        <v>131.779</v>
      </c>
      <c r="D13" s="766">
        <v>29212.64</v>
      </c>
      <c r="E13" s="763">
        <v>20680.54</v>
      </c>
      <c r="F13" s="763">
        <v>2594.9</v>
      </c>
      <c r="G13" s="763">
        <v>762.54</v>
      </c>
      <c r="H13" s="763">
        <v>0</v>
      </c>
      <c r="I13" s="763">
        <v>34.22</v>
      </c>
      <c r="J13" s="763">
        <v>0</v>
      </c>
      <c r="K13" s="767">
        <v>24072.200000000004</v>
      </c>
      <c r="L13" s="763">
        <v>3785.58</v>
      </c>
      <c r="M13" s="763">
        <v>1354.86</v>
      </c>
      <c r="N13" s="767">
        <f t="shared" si="0"/>
        <v>5140.44</v>
      </c>
      <c r="O13" s="770">
        <v>24.856410906098194</v>
      </c>
      <c r="P13"/>
      <c r="Q13"/>
      <c r="R13"/>
      <c r="S13"/>
    </row>
    <row r="14" spans="2:19" ht="15.75">
      <c r="B14" s="848" t="s">
        <v>195</v>
      </c>
      <c r="C14" s="769">
        <v>45.267</v>
      </c>
      <c r="D14" s="766">
        <v>28770.45</v>
      </c>
      <c r="E14" s="763">
        <v>20680.87</v>
      </c>
      <c r="F14" s="763">
        <v>2924.23</v>
      </c>
      <c r="G14" s="763">
        <v>642.82</v>
      </c>
      <c r="H14" s="763">
        <v>0</v>
      </c>
      <c r="I14" s="763">
        <v>35.88</v>
      </c>
      <c r="J14" s="763">
        <v>5.82</v>
      </c>
      <c r="K14" s="767">
        <v>24289.62</v>
      </c>
      <c r="L14" s="763">
        <v>2687.67</v>
      </c>
      <c r="M14" s="763">
        <v>1793.17</v>
      </c>
      <c r="N14" s="767">
        <f t="shared" si="0"/>
        <v>4480.84</v>
      </c>
      <c r="O14" s="770">
        <v>21.66659332997113</v>
      </c>
      <c r="P14"/>
      <c r="Q14"/>
      <c r="R14"/>
      <c r="S14"/>
    </row>
    <row r="15" spans="2:19" ht="15.75">
      <c r="B15" s="848" t="s">
        <v>119</v>
      </c>
      <c r="C15" s="769">
        <v>136.95</v>
      </c>
      <c r="D15" s="766">
        <v>24341.92</v>
      </c>
      <c r="E15" s="763">
        <v>17456.93</v>
      </c>
      <c r="F15" s="763">
        <v>2353.18</v>
      </c>
      <c r="G15" s="763">
        <v>803.75</v>
      </c>
      <c r="H15" s="763">
        <v>0</v>
      </c>
      <c r="I15" s="763">
        <v>0</v>
      </c>
      <c r="J15" s="763">
        <v>59.54</v>
      </c>
      <c r="K15" s="767">
        <v>20673.4</v>
      </c>
      <c r="L15" s="763">
        <v>2091.08</v>
      </c>
      <c r="M15" s="763">
        <v>1577.45</v>
      </c>
      <c r="N15" s="767">
        <f t="shared" si="0"/>
        <v>3668.5299999999997</v>
      </c>
      <c r="O15" s="770">
        <v>21.014748870505866</v>
      </c>
      <c r="P15"/>
      <c r="Q15"/>
      <c r="R15"/>
      <c r="S15"/>
    </row>
    <row r="16" spans="2:19" ht="15.75">
      <c r="B16" s="848" t="s">
        <v>196</v>
      </c>
      <c r="C16" s="769">
        <v>102.129</v>
      </c>
      <c r="D16" s="766">
        <v>28372.29</v>
      </c>
      <c r="E16" s="763">
        <v>20196.81</v>
      </c>
      <c r="F16" s="763">
        <v>2773.29</v>
      </c>
      <c r="G16" s="763">
        <v>860.78</v>
      </c>
      <c r="H16" s="763">
        <v>0</v>
      </c>
      <c r="I16" s="763">
        <v>129.79</v>
      </c>
      <c r="J16" s="763">
        <v>173.54</v>
      </c>
      <c r="K16" s="767">
        <v>24134.210000000003</v>
      </c>
      <c r="L16" s="763">
        <v>2158.02</v>
      </c>
      <c r="M16" s="763">
        <v>2080.05</v>
      </c>
      <c r="N16" s="767">
        <f t="shared" si="0"/>
        <v>4238.07</v>
      </c>
      <c r="O16" s="770">
        <v>20.983858341985687</v>
      </c>
      <c r="P16"/>
      <c r="Q16"/>
      <c r="R16"/>
      <c r="S16"/>
    </row>
    <row r="17" spans="2:19" ht="15.75">
      <c r="B17" s="848" t="s">
        <v>120</v>
      </c>
      <c r="C17" s="769">
        <v>67.618</v>
      </c>
      <c r="D17" s="766">
        <v>29784.21</v>
      </c>
      <c r="E17" s="763">
        <v>20180.57</v>
      </c>
      <c r="F17" s="763">
        <v>3072.28</v>
      </c>
      <c r="G17" s="763">
        <v>864.55</v>
      </c>
      <c r="H17" s="763">
        <v>0</v>
      </c>
      <c r="I17" s="763">
        <v>0</v>
      </c>
      <c r="J17" s="763">
        <v>0.98</v>
      </c>
      <c r="K17" s="767">
        <v>24118.379999999997</v>
      </c>
      <c r="L17" s="763">
        <v>3933.21</v>
      </c>
      <c r="M17" s="763">
        <v>1732.62</v>
      </c>
      <c r="N17" s="767">
        <f t="shared" si="0"/>
        <v>5665.83</v>
      </c>
      <c r="O17" s="770">
        <v>28.075668824022316</v>
      </c>
      <c r="P17"/>
      <c r="Q17"/>
      <c r="R17"/>
      <c r="S17"/>
    </row>
    <row r="18" spans="2:19" ht="15.75">
      <c r="B18" s="848" t="s">
        <v>621</v>
      </c>
      <c r="C18" s="769">
        <v>6.067</v>
      </c>
      <c r="D18" s="766">
        <v>27690.1</v>
      </c>
      <c r="E18" s="763">
        <v>19494.31</v>
      </c>
      <c r="F18" s="763">
        <v>2310.78</v>
      </c>
      <c r="G18" s="763">
        <v>1112.86</v>
      </c>
      <c r="H18" s="763">
        <v>0</v>
      </c>
      <c r="I18" s="763">
        <v>0</v>
      </c>
      <c r="J18" s="763">
        <v>13.64</v>
      </c>
      <c r="K18" s="767">
        <v>22931.59</v>
      </c>
      <c r="L18" s="763">
        <v>2053.53</v>
      </c>
      <c r="M18" s="763">
        <v>2704.98</v>
      </c>
      <c r="N18" s="767">
        <f t="shared" si="0"/>
        <v>4758.51</v>
      </c>
      <c r="O18" s="770">
        <v>24.409738020991767</v>
      </c>
      <c r="P18"/>
      <c r="Q18"/>
      <c r="R18"/>
      <c r="S18"/>
    </row>
    <row r="19" spans="2:19" ht="15.75">
      <c r="B19" s="848" t="s">
        <v>80</v>
      </c>
      <c r="C19" s="769">
        <v>6</v>
      </c>
      <c r="D19" s="766">
        <v>39167.76</v>
      </c>
      <c r="E19" s="763">
        <v>24268.81</v>
      </c>
      <c r="F19" s="763">
        <v>4291.36</v>
      </c>
      <c r="G19" s="763">
        <v>1403.51</v>
      </c>
      <c r="H19" s="763">
        <v>359.43</v>
      </c>
      <c r="I19" s="763">
        <v>0</v>
      </c>
      <c r="J19" s="763">
        <v>0</v>
      </c>
      <c r="K19" s="767">
        <v>30323.11</v>
      </c>
      <c r="L19" s="763">
        <v>3960.03</v>
      </c>
      <c r="M19" s="763">
        <v>4884.63</v>
      </c>
      <c r="N19" s="767">
        <f t="shared" si="0"/>
        <v>8844.66</v>
      </c>
      <c r="O19" s="770">
        <v>36.4445557899213</v>
      </c>
      <c r="P19"/>
      <c r="Q19"/>
      <c r="R19"/>
      <c r="S19"/>
    </row>
    <row r="20" spans="2:19" ht="15.75">
      <c r="B20" s="484"/>
      <c r="C20" s="484"/>
      <c r="D20" s="483"/>
      <c r="E20" s="483"/>
      <c r="F20" s="482"/>
      <c r="G20" s="482"/>
      <c r="H20" s="481"/>
      <c r="I20" s="481"/>
      <c r="J20" s="481"/>
      <c r="K20" s="481"/>
      <c r="L20" s="481"/>
      <c r="M20" s="481"/>
      <c r="N20" s="480"/>
      <c r="O20" s="481"/>
      <c r="P20" s="481"/>
      <c r="Q20" s="480"/>
      <c r="R20" s="480"/>
      <c r="S20" s="480"/>
    </row>
    <row r="21" spans="2:19" ht="12.75">
      <c r="B21" s="169"/>
      <c r="C21" s="479" t="s">
        <v>395</v>
      </c>
      <c r="D21" s="169"/>
      <c r="E21" s="169"/>
      <c r="F21" s="169"/>
      <c r="G21" s="169"/>
      <c r="H21" s="169"/>
      <c r="I21" s="169"/>
      <c r="J21" s="169"/>
      <c r="K21" s="479" t="s">
        <v>394</v>
      </c>
      <c r="L21" s="169"/>
      <c r="M21" s="169"/>
      <c r="N21" s="169"/>
      <c r="O21" s="169"/>
      <c r="P21" s="169"/>
      <c r="Q21" s="169"/>
      <c r="R21" s="169"/>
      <c r="S21" s="169"/>
    </row>
    <row r="22" spans="2:19" ht="12.75">
      <c r="B22" s="169"/>
      <c r="C22" s="991" t="s">
        <v>82</v>
      </c>
      <c r="D22" s="992" t="s">
        <v>390</v>
      </c>
      <c r="E22" s="993" t="s">
        <v>450</v>
      </c>
      <c r="F22" s="169"/>
      <c r="G22" s="169"/>
      <c r="H22" s="169"/>
      <c r="I22" s="169"/>
      <c r="J22" s="169"/>
      <c r="K22" s="994" t="s">
        <v>393</v>
      </c>
      <c r="L22" s="997" t="s">
        <v>449</v>
      </c>
      <c r="M22" s="998" t="s">
        <v>385</v>
      </c>
      <c r="N22" s="169"/>
      <c r="O22" s="169"/>
      <c r="P22" s="169"/>
      <c r="Q22" s="169"/>
      <c r="R22" s="169"/>
      <c r="S22" s="169"/>
    </row>
    <row r="23" spans="2:19" ht="12.75">
      <c r="B23" s="169"/>
      <c r="C23" s="991"/>
      <c r="D23" s="992"/>
      <c r="E23" s="993"/>
      <c r="F23" s="169"/>
      <c r="G23" s="169"/>
      <c r="H23" s="169"/>
      <c r="I23" s="169"/>
      <c r="J23" s="169"/>
      <c r="K23" s="995"/>
      <c r="L23" s="997"/>
      <c r="M23" s="998"/>
      <c r="N23" s="169"/>
      <c r="O23" s="169"/>
      <c r="P23" s="169"/>
      <c r="Q23" s="169"/>
      <c r="R23" s="169"/>
      <c r="S23" s="169" t="s">
        <v>192</v>
      </c>
    </row>
    <row r="24" spans="2:19" ht="12.75">
      <c r="B24" s="169"/>
      <c r="C24" s="991"/>
      <c r="D24" s="992"/>
      <c r="E24" s="993"/>
      <c r="F24" s="169"/>
      <c r="G24" s="169"/>
      <c r="H24" s="169"/>
      <c r="I24" s="169"/>
      <c r="J24" s="169"/>
      <c r="K24" s="995"/>
      <c r="L24" s="997"/>
      <c r="M24" s="998"/>
      <c r="N24" s="169"/>
      <c r="O24" s="169"/>
      <c r="P24" s="169"/>
      <c r="Q24" s="169"/>
      <c r="R24" s="169"/>
      <c r="S24" s="169"/>
    </row>
    <row r="25" spans="2:19" ht="12.75">
      <c r="B25" s="169"/>
      <c r="C25" s="991"/>
      <c r="D25" s="992"/>
      <c r="E25" s="993"/>
      <c r="F25" s="169"/>
      <c r="G25" s="169"/>
      <c r="H25" s="169"/>
      <c r="I25" s="169"/>
      <c r="J25" s="169"/>
      <c r="K25" s="996"/>
      <c r="L25" s="997"/>
      <c r="M25" s="998"/>
      <c r="N25" s="169"/>
      <c r="O25" s="169"/>
      <c r="P25" s="169"/>
      <c r="Q25" s="169"/>
      <c r="R25" s="169"/>
      <c r="S25" s="169"/>
    </row>
    <row r="26" spans="2:19" ht="15.75">
      <c r="B26" s="169"/>
      <c r="C26" s="768" t="s">
        <v>80</v>
      </c>
      <c r="D26" s="770">
        <v>6</v>
      </c>
      <c r="E26" s="766">
        <v>39167.76</v>
      </c>
      <c r="F26" s="169"/>
      <c r="G26" s="169"/>
      <c r="H26" s="169"/>
      <c r="I26" s="169"/>
      <c r="J26" s="169"/>
      <c r="K26" s="768" t="s">
        <v>80</v>
      </c>
      <c r="L26" s="767">
        <v>30323.11</v>
      </c>
      <c r="M26" s="770">
        <v>36.4445557899213</v>
      </c>
      <c r="N26" s="169"/>
      <c r="O26" s="169"/>
      <c r="P26" s="169"/>
      <c r="Q26" s="169"/>
      <c r="R26" s="169"/>
      <c r="S26" s="169"/>
    </row>
    <row r="27" spans="2:19" ht="15.75">
      <c r="B27" s="169"/>
      <c r="C27" s="768" t="s">
        <v>120</v>
      </c>
      <c r="D27" s="769">
        <v>67.618</v>
      </c>
      <c r="E27" s="766">
        <v>29784.21</v>
      </c>
      <c r="F27" s="169"/>
      <c r="G27" s="169"/>
      <c r="H27" s="169"/>
      <c r="I27" s="169"/>
      <c r="J27" s="169"/>
      <c r="K27" s="768" t="s">
        <v>195</v>
      </c>
      <c r="L27" s="767">
        <v>24289.62</v>
      </c>
      <c r="M27" s="770">
        <v>21.66659332997113</v>
      </c>
      <c r="N27" s="169"/>
      <c r="O27" s="169"/>
      <c r="P27" s="169"/>
      <c r="Q27" s="169"/>
      <c r="R27" s="169"/>
      <c r="S27" s="169"/>
    </row>
    <row r="28" spans="2:19" ht="15.75">
      <c r="B28" s="169"/>
      <c r="C28" s="768" t="s">
        <v>194</v>
      </c>
      <c r="D28" s="769">
        <v>131.779</v>
      </c>
      <c r="E28" s="766">
        <v>29212.64</v>
      </c>
      <c r="F28" s="169"/>
      <c r="G28" s="169"/>
      <c r="H28" s="169"/>
      <c r="I28" s="169"/>
      <c r="J28" s="169"/>
      <c r="K28" s="768" t="s">
        <v>196</v>
      </c>
      <c r="L28" s="767">
        <v>24134.210000000003</v>
      </c>
      <c r="M28" s="770">
        <v>20.983858341985687</v>
      </c>
      <c r="N28" s="169"/>
      <c r="O28" s="169"/>
      <c r="P28" s="169"/>
      <c r="Q28" s="169"/>
      <c r="R28" s="169"/>
      <c r="S28" s="169"/>
    </row>
    <row r="29" spans="2:19" ht="15.75">
      <c r="B29" s="169"/>
      <c r="C29" s="768" t="s">
        <v>195</v>
      </c>
      <c r="D29" s="769">
        <v>45.267</v>
      </c>
      <c r="E29" s="766">
        <v>28770.45</v>
      </c>
      <c r="F29" s="169"/>
      <c r="G29" s="169"/>
      <c r="H29" s="169"/>
      <c r="I29" s="169"/>
      <c r="J29" s="169"/>
      <c r="K29" s="768" t="s">
        <v>120</v>
      </c>
      <c r="L29" s="767">
        <v>24118.379999999997</v>
      </c>
      <c r="M29" s="770">
        <v>28.075668824022316</v>
      </c>
      <c r="N29" s="169"/>
      <c r="O29" s="169"/>
      <c r="P29" s="169"/>
      <c r="Q29" s="169"/>
      <c r="R29" s="169"/>
      <c r="S29" s="169"/>
    </row>
    <row r="30" spans="2:19" ht="15.75">
      <c r="B30" s="169"/>
      <c r="C30" s="768" t="s">
        <v>196</v>
      </c>
      <c r="D30" s="769">
        <v>102.129</v>
      </c>
      <c r="E30" s="766">
        <v>28372.29</v>
      </c>
      <c r="F30" s="169"/>
      <c r="G30" s="169"/>
      <c r="H30" s="169"/>
      <c r="I30" s="169"/>
      <c r="J30" s="169"/>
      <c r="K30" s="768" t="s">
        <v>194</v>
      </c>
      <c r="L30" s="767">
        <v>24072.200000000004</v>
      </c>
      <c r="M30" s="770">
        <v>24.856410906098194</v>
      </c>
      <c r="N30" s="169"/>
      <c r="O30" s="169"/>
      <c r="P30" s="169"/>
      <c r="Q30" s="169"/>
      <c r="R30" s="169"/>
      <c r="S30" s="169"/>
    </row>
    <row r="31" spans="2:19" ht="15.75">
      <c r="B31" s="169"/>
      <c r="C31" s="768" t="s">
        <v>621</v>
      </c>
      <c r="D31" s="769">
        <v>6.067</v>
      </c>
      <c r="E31" s="766">
        <v>27690.1</v>
      </c>
      <c r="F31" s="169"/>
      <c r="G31" s="169"/>
      <c r="H31" s="169"/>
      <c r="I31" s="169"/>
      <c r="J31" s="169"/>
      <c r="K31" s="768" t="s">
        <v>621</v>
      </c>
      <c r="L31" s="767">
        <v>22931.59</v>
      </c>
      <c r="M31" s="770">
        <v>24.409738020991767</v>
      </c>
      <c r="N31" s="169"/>
      <c r="O31" s="169"/>
      <c r="P31" s="169"/>
      <c r="Q31" s="169"/>
      <c r="R31" s="169"/>
      <c r="S31" s="169"/>
    </row>
    <row r="32" spans="2:19" ht="18.75">
      <c r="B32" s="169"/>
      <c r="C32" s="771" t="s">
        <v>392</v>
      </c>
      <c r="D32" s="772">
        <f>SUM(D33:D40)</f>
        <v>231.19</v>
      </c>
      <c r="E32" s="773">
        <v>27241.29</v>
      </c>
      <c r="F32" s="169"/>
      <c r="G32" s="169"/>
      <c r="H32" s="169"/>
      <c r="I32" s="169"/>
      <c r="J32" s="169"/>
      <c r="K32" s="771" t="s">
        <v>392</v>
      </c>
      <c r="L32" s="774">
        <v>22709.940000000002</v>
      </c>
      <c r="M32" s="775">
        <v>23.361294889330082</v>
      </c>
      <c r="N32" s="169"/>
      <c r="O32" s="169"/>
      <c r="P32" s="169"/>
      <c r="Q32" s="169"/>
      <c r="R32" s="169"/>
      <c r="S32" s="169"/>
    </row>
    <row r="33" spans="2:19" ht="15.75">
      <c r="B33" s="169"/>
      <c r="C33" s="768" t="s">
        <v>119</v>
      </c>
      <c r="D33" s="769">
        <v>136.95</v>
      </c>
      <c r="E33" s="766">
        <v>24341.92</v>
      </c>
      <c r="F33" s="169"/>
      <c r="G33" s="169"/>
      <c r="H33" s="169"/>
      <c r="I33" s="169"/>
      <c r="J33" s="169"/>
      <c r="K33" s="768" t="s">
        <v>119</v>
      </c>
      <c r="L33" s="767">
        <v>20673.4</v>
      </c>
      <c r="M33" s="770">
        <v>21.014748870505866</v>
      </c>
      <c r="N33" s="169"/>
      <c r="O33" s="169"/>
      <c r="P33" s="169"/>
      <c r="Q33" s="169"/>
      <c r="R33" s="169"/>
      <c r="S33" s="169"/>
    </row>
    <row r="34" spans="2:19" ht="15.75">
      <c r="B34" s="169"/>
      <c r="C34" s="768" t="s">
        <v>18</v>
      </c>
      <c r="D34" s="769">
        <v>94.24</v>
      </c>
      <c r="E34" s="766">
        <v>24125.07</v>
      </c>
      <c r="F34" s="169"/>
      <c r="G34" s="169"/>
      <c r="H34" s="169"/>
      <c r="I34" s="169"/>
      <c r="J34" s="169"/>
      <c r="K34" s="768" t="s">
        <v>18</v>
      </c>
      <c r="L34" s="767">
        <v>19952.710000000003</v>
      </c>
      <c r="M34" s="770">
        <v>23.10458518886867</v>
      </c>
      <c r="N34" s="169"/>
      <c r="O34" s="169"/>
      <c r="P34" s="169"/>
      <c r="Q34" s="169"/>
      <c r="R34" s="169"/>
      <c r="S34" s="169"/>
    </row>
    <row r="35" spans="2:19" ht="12.75">
      <c r="B35" s="168"/>
      <c r="C35" s="169"/>
      <c r="D35" s="169"/>
      <c r="E35" s="169"/>
      <c r="F35" s="169"/>
      <c r="G35" s="169"/>
      <c r="H35" s="168"/>
      <c r="I35" s="168"/>
      <c r="J35" s="169"/>
      <c r="K35" s="169"/>
      <c r="L35" s="169"/>
      <c r="M35" s="169"/>
      <c r="N35" s="169"/>
      <c r="O35" s="169"/>
      <c r="P35" s="168"/>
      <c r="Q35" s="168"/>
      <c r="R35" s="168"/>
      <c r="S35" s="168"/>
    </row>
    <row r="36" spans="2:19" ht="12.75">
      <c r="B36" s="168"/>
      <c r="C36" s="169"/>
      <c r="D36" s="169"/>
      <c r="E36" s="169"/>
      <c r="F36" s="169"/>
      <c r="G36" s="169"/>
      <c r="H36" s="168"/>
      <c r="I36" s="168"/>
      <c r="J36" s="169"/>
      <c r="K36" s="169"/>
      <c r="L36" s="169"/>
      <c r="M36" s="169"/>
      <c r="N36" s="169"/>
      <c r="O36" s="169"/>
      <c r="P36" s="168"/>
      <c r="Q36" s="168"/>
      <c r="R36" s="168"/>
      <c r="S36" s="168"/>
    </row>
  </sheetData>
  <sheetProtection/>
  <mergeCells count="24">
    <mergeCell ref="E7:N7"/>
    <mergeCell ref="O7:O10"/>
    <mergeCell ref="E8:E10"/>
    <mergeCell ref="F8:F10"/>
    <mergeCell ref="I8:I10"/>
    <mergeCell ref="J8:J10"/>
    <mergeCell ref="K8:K10"/>
    <mergeCell ref="L8:L10"/>
    <mergeCell ref="B3:D3"/>
    <mergeCell ref="N3:O3"/>
    <mergeCell ref="B7:B10"/>
    <mergeCell ref="C7:C10"/>
    <mergeCell ref="D7:D10"/>
    <mergeCell ref="M8:M10"/>
    <mergeCell ref="N8:N10"/>
    <mergeCell ref="G8:G10"/>
    <mergeCell ref="H8:H10"/>
    <mergeCell ref="B4:O4"/>
    <mergeCell ref="C22:C25"/>
    <mergeCell ref="D22:D25"/>
    <mergeCell ref="E22:E25"/>
    <mergeCell ref="K22:K25"/>
    <mergeCell ref="L22:L25"/>
    <mergeCell ref="M22:M25"/>
  </mergeCell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19"/>
  <sheetViews>
    <sheetView view="pageBreakPreview" zoomScale="6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4.28125" style="161" customWidth="1"/>
    <col min="2" max="2" width="17.7109375" style="161" customWidth="1"/>
    <col min="3" max="3" width="11.140625" style="161" customWidth="1"/>
    <col min="4" max="4" width="10.57421875" style="161" customWidth="1"/>
    <col min="5" max="5" width="9.8515625" style="161" customWidth="1"/>
    <col min="6" max="6" width="12.28125" style="161" customWidth="1"/>
    <col min="7" max="8" width="11.140625" style="161" customWidth="1"/>
    <col min="9" max="9" width="9.8515625" style="161" customWidth="1"/>
    <col min="10" max="10" width="10.57421875" style="161" customWidth="1"/>
    <col min="11" max="12" width="11.140625" style="161" customWidth="1"/>
    <col min="13" max="13" width="9.8515625" style="161" customWidth="1"/>
    <col min="14" max="14" width="10.421875" style="161" customWidth="1"/>
    <col min="15" max="15" width="11.00390625" style="161" customWidth="1"/>
    <col min="16" max="16" width="11.8515625" style="161" customWidth="1"/>
    <col min="17" max="16384" width="9.140625" style="161" customWidth="1"/>
  </cols>
  <sheetData>
    <row r="1" spans="2:14" ht="15.75">
      <c r="B1" s="999"/>
      <c r="C1" s="999"/>
      <c r="D1" s="999"/>
      <c r="E1" s="196"/>
      <c r="F1" s="195"/>
      <c r="G1" s="169"/>
      <c r="H1" s="169"/>
      <c r="I1" s="169"/>
      <c r="J1" s="169"/>
      <c r="K1" s="169"/>
      <c r="L1" s="169"/>
      <c r="M1" s="969" t="s">
        <v>116</v>
      </c>
      <c r="N1" s="969"/>
    </row>
    <row r="2" spans="2:14" ht="12.75">
      <c r="B2" s="184"/>
      <c r="C2" s="184"/>
      <c r="D2" s="184"/>
      <c r="E2" s="196"/>
      <c r="F2" s="195"/>
      <c r="G2" s="169"/>
      <c r="H2" s="169"/>
      <c r="I2" s="169"/>
      <c r="J2" s="169"/>
      <c r="K2" s="169"/>
      <c r="L2" s="169"/>
      <c r="M2" s="169"/>
      <c r="N2" s="169"/>
    </row>
    <row r="3" spans="2:17" ht="27" customHeight="1">
      <c r="B3" s="1007" t="s">
        <v>610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62"/>
      <c r="P3" s="162"/>
      <c r="Q3" s="162"/>
    </row>
    <row r="4" spans="2:17" ht="12.75" customHeight="1"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90"/>
      <c r="P4" s="189"/>
      <c r="Q4" s="162"/>
    </row>
    <row r="5" spans="2:17" ht="15" customHeight="1">
      <c r="B5" s="194"/>
      <c r="C5" s="193"/>
      <c r="D5" s="193"/>
      <c r="E5" s="193"/>
      <c r="F5" s="192"/>
      <c r="G5" s="168"/>
      <c r="H5" s="169"/>
      <c r="I5" s="169"/>
      <c r="J5" s="169"/>
      <c r="K5" s="169"/>
      <c r="L5" s="168"/>
      <c r="M5" s="191"/>
      <c r="N5" s="478" t="s">
        <v>317</v>
      </c>
      <c r="O5" s="188"/>
      <c r="P5" s="188"/>
      <c r="Q5" s="162"/>
    </row>
    <row r="6" spans="2:17" ht="12.75" customHeight="1">
      <c r="B6" s="1008" t="s">
        <v>402</v>
      </c>
      <c r="C6" s="1011" t="s">
        <v>401</v>
      </c>
      <c r="D6" s="1012"/>
      <c r="E6" s="1012"/>
      <c r="F6" s="1012"/>
      <c r="G6" s="1012" t="s">
        <v>400</v>
      </c>
      <c r="H6" s="1012"/>
      <c r="I6" s="1012"/>
      <c r="J6" s="1012"/>
      <c r="K6" s="1012" t="s">
        <v>399</v>
      </c>
      <c r="L6" s="1012"/>
      <c r="M6" s="1012"/>
      <c r="N6" s="1012"/>
      <c r="O6" s="187"/>
      <c r="P6" s="187"/>
      <c r="Q6" s="162"/>
    </row>
    <row r="7" spans="2:17" ht="35.25" customHeight="1">
      <c r="B7" s="1009"/>
      <c r="C7" s="1013" t="s">
        <v>457</v>
      </c>
      <c r="D7" s="1013" t="s">
        <v>611</v>
      </c>
      <c r="E7" s="963" t="s">
        <v>622</v>
      </c>
      <c r="F7" s="963"/>
      <c r="G7" s="1013" t="s">
        <v>457</v>
      </c>
      <c r="H7" s="1013" t="s">
        <v>611</v>
      </c>
      <c r="I7" s="963" t="s">
        <v>622</v>
      </c>
      <c r="J7" s="963"/>
      <c r="K7" s="1013" t="s">
        <v>457</v>
      </c>
      <c r="L7" s="1013" t="s">
        <v>611</v>
      </c>
      <c r="M7" s="963" t="s">
        <v>622</v>
      </c>
      <c r="N7" s="963"/>
      <c r="O7" s="162"/>
      <c r="P7" s="186"/>
      <c r="Q7" s="162"/>
    </row>
    <row r="8" spans="2:16" s="162" customFormat="1" ht="14.25" customHeight="1">
      <c r="B8" s="1009"/>
      <c r="C8" s="1013"/>
      <c r="D8" s="1013"/>
      <c r="E8" s="963"/>
      <c r="F8" s="963"/>
      <c r="G8" s="1013"/>
      <c r="H8" s="1013"/>
      <c r="I8" s="963"/>
      <c r="J8" s="963"/>
      <c r="K8" s="1013"/>
      <c r="L8" s="1013"/>
      <c r="M8" s="963"/>
      <c r="N8" s="963"/>
      <c r="P8" s="186"/>
    </row>
    <row r="9" spans="2:17" ht="18" customHeight="1">
      <c r="B9" s="1010"/>
      <c r="C9" s="1013"/>
      <c r="D9" s="1013"/>
      <c r="E9" s="842" t="s">
        <v>398</v>
      </c>
      <c r="F9" s="843" t="s">
        <v>397</v>
      </c>
      <c r="G9" s="1013"/>
      <c r="H9" s="1013"/>
      <c r="I9" s="842" t="s">
        <v>398</v>
      </c>
      <c r="J9" s="843" t="s">
        <v>397</v>
      </c>
      <c r="K9" s="1013"/>
      <c r="L9" s="1013"/>
      <c r="M9" s="842" t="s">
        <v>398</v>
      </c>
      <c r="N9" s="843" t="s">
        <v>397</v>
      </c>
      <c r="O9" s="162"/>
      <c r="P9" s="186"/>
      <c r="Q9" s="162"/>
    </row>
    <row r="10" spans="2:17" ht="18" customHeight="1">
      <c r="B10" s="844" t="s">
        <v>364</v>
      </c>
      <c r="C10" s="755">
        <v>26677</v>
      </c>
      <c r="D10" s="755">
        <v>27241</v>
      </c>
      <c r="E10" s="755">
        <f>D10-C10</f>
        <v>564</v>
      </c>
      <c r="F10" s="756">
        <f>D10/C10*100</f>
        <v>102.11418075495746</v>
      </c>
      <c r="G10" s="755">
        <v>21511</v>
      </c>
      <c r="H10" s="755">
        <v>21908</v>
      </c>
      <c r="I10" s="757">
        <f>H10-G10</f>
        <v>397</v>
      </c>
      <c r="J10" s="758">
        <f>H10/G10*100</f>
        <v>101.84556738412904</v>
      </c>
      <c r="K10" s="755">
        <v>4418</v>
      </c>
      <c r="L10" s="755">
        <v>4531</v>
      </c>
      <c r="M10" s="755">
        <f>L10-K10</f>
        <v>113</v>
      </c>
      <c r="N10" s="756">
        <f>L10/K10*100</f>
        <v>102.55771842462653</v>
      </c>
      <c r="O10" s="162"/>
      <c r="P10" s="186"/>
      <c r="Q10" s="162"/>
    </row>
    <row r="11" spans="2:17" ht="18" customHeight="1">
      <c r="B11" s="845" t="s">
        <v>363</v>
      </c>
      <c r="C11" s="759"/>
      <c r="D11" s="759"/>
      <c r="E11" s="755"/>
      <c r="F11" s="756"/>
      <c r="G11" s="760"/>
      <c r="H11" s="761"/>
      <c r="I11" s="757"/>
      <c r="J11" s="758"/>
      <c r="K11" s="762"/>
      <c r="L11" s="762"/>
      <c r="M11" s="755"/>
      <c r="N11" s="756"/>
      <c r="O11" s="162"/>
      <c r="P11" s="186"/>
      <c r="Q11" s="162"/>
    </row>
    <row r="12" spans="2:17" ht="18" customHeight="1">
      <c r="B12" s="846" t="s">
        <v>330</v>
      </c>
      <c r="C12" s="757">
        <v>24662</v>
      </c>
      <c r="D12" s="763">
        <v>24125.07</v>
      </c>
      <c r="E12" s="757">
        <f aca="true" t="shared" si="0" ref="E12:E19">D12-C12</f>
        <v>-536.9300000000003</v>
      </c>
      <c r="F12" s="758">
        <f aca="true" t="shared" si="1" ref="F12:F19">D12/C12*100</f>
        <v>97.82284486254156</v>
      </c>
      <c r="G12" s="757">
        <v>20685</v>
      </c>
      <c r="H12" s="764">
        <v>19694.24</v>
      </c>
      <c r="I12" s="757">
        <f aca="true" t="shared" si="2" ref="I12:I19">H12-G12</f>
        <v>-990.7599999999984</v>
      </c>
      <c r="J12" s="758">
        <f aca="true" t="shared" si="3" ref="J12:J19">H12/G12*100</f>
        <v>95.21024897268553</v>
      </c>
      <c r="K12" s="757">
        <v>3538</v>
      </c>
      <c r="L12" s="757">
        <v>4172.36</v>
      </c>
      <c r="M12" s="757">
        <f aca="true" t="shared" si="4" ref="M12:M19">L12-K12</f>
        <v>634.3599999999997</v>
      </c>
      <c r="N12" s="758">
        <f aca="true" t="shared" si="5" ref="N12:N19">L12/K12*100</f>
        <v>117.92990390050875</v>
      </c>
      <c r="O12" s="162"/>
      <c r="P12" s="186"/>
      <c r="Q12" s="162"/>
    </row>
    <row r="13" spans="2:17" ht="18" customHeight="1">
      <c r="B13" s="846" t="s">
        <v>194</v>
      </c>
      <c r="C13" s="757">
        <v>26778.849692563173</v>
      </c>
      <c r="D13" s="763">
        <v>29212.64</v>
      </c>
      <c r="E13" s="757">
        <f t="shared" si="0"/>
        <v>2433.790307436826</v>
      </c>
      <c r="F13" s="758">
        <f t="shared" si="1"/>
        <v>109.08847965979929</v>
      </c>
      <c r="G13" s="757">
        <v>22265.06814475712</v>
      </c>
      <c r="H13" s="764">
        <v>23275.440000000002</v>
      </c>
      <c r="I13" s="757">
        <f t="shared" si="2"/>
        <v>1010.3718552428836</v>
      </c>
      <c r="J13" s="758">
        <f t="shared" si="3"/>
        <v>104.53792392942125</v>
      </c>
      <c r="K13" s="757">
        <v>4027.7725416273956</v>
      </c>
      <c r="L13" s="757">
        <v>5140.44</v>
      </c>
      <c r="M13" s="757">
        <f t="shared" si="4"/>
        <v>1112.667458372604</v>
      </c>
      <c r="N13" s="758">
        <f t="shared" si="5"/>
        <v>127.62488315497176</v>
      </c>
      <c r="O13" s="162"/>
      <c r="P13" s="186"/>
      <c r="Q13" s="162"/>
    </row>
    <row r="14" spans="2:17" ht="18" customHeight="1">
      <c r="B14" s="846" t="s">
        <v>362</v>
      </c>
      <c r="C14" s="757">
        <v>28134.73300000754</v>
      </c>
      <c r="D14" s="763">
        <v>28770.45</v>
      </c>
      <c r="E14" s="757">
        <f t="shared" si="0"/>
        <v>635.716999992459</v>
      </c>
      <c r="F14" s="758">
        <f t="shared" si="1"/>
        <v>102.25954516786169</v>
      </c>
      <c r="G14" s="757">
        <v>22897.77192069561</v>
      </c>
      <c r="H14" s="764">
        <v>23605.1</v>
      </c>
      <c r="I14" s="757">
        <f t="shared" si="2"/>
        <v>707.3280793043887</v>
      </c>
      <c r="J14" s="758">
        <f t="shared" si="3"/>
        <v>103.08906945948347</v>
      </c>
      <c r="K14" s="757">
        <v>4584.752984472448</v>
      </c>
      <c r="L14" s="757">
        <v>4480.84</v>
      </c>
      <c r="M14" s="757">
        <f t="shared" si="4"/>
        <v>-103.91298447244753</v>
      </c>
      <c r="N14" s="758">
        <f t="shared" si="5"/>
        <v>97.73350963891887</v>
      </c>
      <c r="O14" s="162"/>
      <c r="P14" s="186"/>
      <c r="Q14" s="162"/>
    </row>
    <row r="15" spans="2:17" ht="18" customHeight="1">
      <c r="B15" s="846" t="s">
        <v>119</v>
      </c>
      <c r="C15" s="757">
        <v>24558.649963567917</v>
      </c>
      <c r="D15" s="763">
        <v>24341.92</v>
      </c>
      <c r="E15" s="757">
        <f t="shared" si="0"/>
        <v>-216.72996356791919</v>
      </c>
      <c r="F15" s="758">
        <f t="shared" si="1"/>
        <v>99.11750049823816</v>
      </c>
      <c r="G15" s="757">
        <v>19668.71533891959</v>
      </c>
      <c r="H15" s="764">
        <v>19810.11</v>
      </c>
      <c r="I15" s="757">
        <f t="shared" si="2"/>
        <v>141.39466108041233</v>
      </c>
      <c r="J15" s="758">
        <f t="shared" si="3"/>
        <v>100.71888101812438</v>
      </c>
      <c r="K15" s="757">
        <v>3991.2860272835833</v>
      </c>
      <c r="L15" s="757">
        <v>3668.5299999999997</v>
      </c>
      <c r="M15" s="757">
        <f t="shared" si="4"/>
        <v>-322.75602728358353</v>
      </c>
      <c r="N15" s="758">
        <f t="shared" si="5"/>
        <v>91.91348289555566</v>
      </c>
      <c r="O15" s="162"/>
      <c r="P15" s="186"/>
      <c r="Q15" s="162"/>
    </row>
    <row r="16" spans="2:17" ht="18" customHeight="1">
      <c r="B16" s="846" t="s">
        <v>196</v>
      </c>
      <c r="C16" s="757">
        <v>27539.07196988362</v>
      </c>
      <c r="D16" s="763">
        <v>28372.29</v>
      </c>
      <c r="E16" s="757">
        <f t="shared" si="0"/>
        <v>833.2180301163826</v>
      </c>
      <c r="F16" s="758">
        <f t="shared" si="1"/>
        <v>103.025584998026</v>
      </c>
      <c r="G16" s="757">
        <v>22024.503234029416</v>
      </c>
      <c r="H16" s="764">
        <v>22970.100000000002</v>
      </c>
      <c r="I16" s="757">
        <f t="shared" si="2"/>
        <v>945.5967659705857</v>
      </c>
      <c r="J16" s="758">
        <f t="shared" si="3"/>
        <v>104.29338521701399</v>
      </c>
      <c r="K16" s="757">
        <v>4596.749874350813</v>
      </c>
      <c r="L16" s="757">
        <v>4238.07</v>
      </c>
      <c r="M16" s="757">
        <f t="shared" si="4"/>
        <v>-358.6798743508134</v>
      </c>
      <c r="N16" s="758">
        <f t="shared" si="5"/>
        <v>92.1970982943363</v>
      </c>
      <c r="O16" s="162"/>
      <c r="P16" s="186"/>
      <c r="Q16" s="162"/>
    </row>
    <row r="17" spans="2:14" ht="15.75">
      <c r="B17" s="846" t="s">
        <v>120</v>
      </c>
      <c r="C17" s="757">
        <v>29353.455065192662</v>
      </c>
      <c r="D17" s="763">
        <v>29784.21</v>
      </c>
      <c r="E17" s="757">
        <f t="shared" si="0"/>
        <v>430.7549348073371</v>
      </c>
      <c r="F17" s="758">
        <f t="shared" si="1"/>
        <v>101.46747609046585</v>
      </c>
      <c r="G17" s="757">
        <v>22493.69585508853</v>
      </c>
      <c r="H17" s="764">
        <v>23252.85</v>
      </c>
      <c r="I17" s="757">
        <f t="shared" si="2"/>
        <v>759.1541449114702</v>
      </c>
      <c r="J17" s="758">
        <f t="shared" si="3"/>
        <v>103.37496403348823</v>
      </c>
      <c r="K17" s="757">
        <v>6000.023092105903</v>
      </c>
      <c r="L17" s="757">
        <v>5665.83</v>
      </c>
      <c r="M17" s="757">
        <f t="shared" si="4"/>
        <v>-334.1930921059029</v>
      </c>
      <c r="N17" s="758">
        <f t="shared" si="5"/>
        <v>94.43013656821432</v>
      </c>
    </row>
    <row r="18" spans="2:14" ht="15.75">
      <c r="B18" s="846" t="s">
        <v>448</v>
      </c>
      <c r="C18" s="757">
        <v>26383.010662177327</v>
      </c>
      <c r="D18" s="763">
        <v>27690.1</v>
      </c>
      <c r="E18" s="757">
        <f t="shared" si="0"/>
        <v>1307.089337822672</v>
      </c>
      <c r="F18" s="758">
        <f t="shared" si="1"/>
        <v>104.95428423449988</v>
      </c>
      <c r="G18" s="757">
        <v>21264.941077441075</v>
      </c>
      <c r="H18" s="764">
        <v>21805.09</v>
      </c>
      <c r="I18" s="757">
        <f t="shared" si="2"/>
        <v>540.1489225589248</v>
      </c>
      <c r="J18" s="758">
        <f t="shared" si="3"/>
        <v>102.54009132022446</v>
      </c>
      <c r="K18" s="757">
        <v>3972.7413019079686</v>
      </c>
      <c r="L18" s="757">
        <v>4758.51</v>
      </c>
      <c r="M18" s="757">
        <f t="shared" si="4"/>
        <v>785.7686980920316</v>
      </c>
      <c r="N18" s="758">
        <f t="shared" si="5"/>
        <v>119.77900493331026</v>
      </c>
    </row>
    <row r="19" spans="2:14" ht="15.75">
      <c r="B19" s="846" t="s">
        <v>80</v>
      </c>
      <c r="C19" s="757">
        <v>37964</v>
      </c>
      <c r="D19" s="763">
        <v>39167.76</v>
      </c>
      <c r="E19" s="757">
        <f t="shared" si="0"/>
        <v>1203.760000000002</v>
      </c>
      <c r="F19" s="758">
        <f t="shared" si="1"/>
        <v>103.17079338320514</v>
      </c>
      <c r="G19" s="757">
        <v>27245.680555555555</v>
      </c>
      <c r="H19" s="764">
        <v>28560.170000000002</v>
      </c>
      <c r="I19" s="757">
        <f t="shared" si="2"/>
        <v>1314.4894444444471</v>
      </c>
      <c r="J19" s="758">
        <f t="shared" si="3"/>
        <v>104.82457922739027</v>
      </c>
      <c r="K19" s="757">
        <v>8927.458333333334</v>
      </c>
      <c r="L19" s="757">
        <v>8844.66</v>
      </c>
      <c r="M19" s="757">
        <f t="shared" si="4"/>
        <v>-82.79833333333409</v>
      </c>
      <c r="N19" s="758">
        <f t="shared" si="5"/>
        <v>99.07254304369944</v>
      </c>
    </row>
  </sheetData>
  <sheetProtection/>
  <mergeCells count="16">
    <mergeCell ref="G7:G9"/>
    <mergeCell ref="H7:H9"/>
    <mergeCell ref="I7:J8"/>
    <mergeCell ref="K7:K9"/>
    <mergeCell ref="L7:L9"/>
    <mergeCell ref="M7:N8"/>
    <mergeCell ref="B3:N4"/>
    <mergeCell ref="B6:B9"/>
    <mergeCell ref="C6:F6"/>
    <mergeCell ref="G6:J6"/>
    <mergeCell ref="B1:D1"/>
    <mergeCell ref="M1:N1"/>
    <mergeCell ref="K6:N6"/>
    <mergeCell ref="C7:C9"/>
    <mergeCell ref="D7:D9"/>
    <mergeCell ref="E7:F8"/>
  </mergeCells>
  <printOptions horizontalCentered="1" vertic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view="pageBreakPreview" zoomScale="60" zoomScalePageLayoutView="0" workbookViewId="0" topLeftCell="A1">
      <selection activeCell="D25" sqref="D25"/>
    </sheetView>
  </sheetViews>
  <sheetFormatPr defaultColWidth="9.140625" defaultRowHeight="12.75"/>
  <cols>
    <col min="1" max="2" width="20.140625" style="40" customWidth="1"/>
    <col min="3" max="3" width="21.7109375" style="40" bestFit="1" customWidth="1"/>
    <col min="4" max="4" width="21.7109375" style="40" customWidth="1"/>
    <col min="5" max="5" width="20.8515625" style="40" customWidth="1"/>
    <col min="6" max="16384" width="9.140625" style="40" customWidth="1"/>
  </cols>
  <sheetData>
    <row r="2" spans="1:5" ht="15.75">
      <c r="A2" s="41"/>
      <c r="E2" s="802" t="s">
        <v>117</v>
      </c>
    </row>
    <row r="4" ht="15.75">
      <c r="A4" s="43" t="s">
        <v>582</v>
      </c>
    </row>
    <row r="5" ht="15.75">
      <c r="A5" s="43"/>
    </row>
    <row r="6" spans="1:5" ht="16.5" thickBot="1">
      <c r="A6" s="43"/>
      <c r="E6" s="44" t="s">
        <v>317</v>
      </c>
    </row>
    <row r="7" spans="1:5" s="151" customFormat="1" ht="75.75" customHeight="1" thickBot="1">
      <c r="A7" s="857"/>
      <c r="B7" s="858" t="s">
        <v>102</v>
      </c>
      <c r="C7" s="859" t="s">
        <v>93</v>
      </c>
      <c r="D7" s="859" t="s">
        <v>473</v>
      </c>
      <c r="E7" s="860" t="s">
        <v>94</v>
      </c>
    </row>
    <row r="8" spans="1:5" s="151" customFormat="1" ht="15">
      <c r="A8" s="861"/>
      <c r="B8" s="862" t="s">
        <v>98</v>
      </c>
      <c r="C8" s="863" t="s">
        <v>99</v>
      </c>
      <c r="D8" s="863" t="s">
        <v>100</v>
      </c>
      <c r="E8" s="864" t="s">
        <v>101</v>
      </c>
    </row>
    <row r="9" spans="1:5" ht="15">
      <c r="A9" s="865" t="s">
        <v>330</v>
      </c>
      <c r="B9" s="788">
        <f>'T3-UR rozdíl'!I10+'T10-vynosy'!B9</f>
        <v>162754163</v>
      </c>
      <c r="C9" s="322">
        <f>'T12-HV-HC'!D5+'T13-HV-JC '!D5</f>
        <v>1266015283.4099998</v>
      </c>
      <c r="D9" s="323">
        <f aca="true" t="shared" si="0" ref="D9:D17">C9-B9</f>
        <v>1103261120.4099998</v>
      </c>
      <c r="E9" s="789">
        <f aca="true" t="shared" si="1" ref="E9:E17">(C9/B9)*100</f>
        <v>777.8696778465812</v>
      </c>
    </row>
    <row r="10" spans="1:5" ht="15">
      <c r="A10" s="865" t="s">
        <v>201</v>
      </c>
      <c r="B10" s="788">
        <f>'T3-UR rozdíl'!I20+'T10-vynosy'!B10</f>
        <v>257770208.17000002</v>
      </c>
      <c r="C10" s="322">
        <f>'T12-HV-HC'!E5+'T13-HV-JC '!E5</f>
        <v>222075950.28</v>
      </c>
      <c r="D10" s="323">
        <f t="shared" si="0"/>
        <v>-35694257.890000015</v>
      </c>
      <c r="E10" s="790">
        <f t="shared" si="1"/>
        <v>86.1526829871435</v>
      </c>
    </row>
    <row r="11" spans="1:7" ht="15">
      <c r="A11" s="865" t="s">
        <v>331</v>
      </c>
      <c r="B11" s="788">
        <f>'T3-UR rozdíl'!I30+'T10-vynosy'!B11</f>
        <v>36036198</v>
      </c>
      <c r="C11" s="322">
        <f>'T12-HV-HC'!F5</f>
        <v>39367242.120000005</v>
      </c>
      <c r="D11" s="323">
        <f t="shared" si="0"/>
        <v>3331044.120000005</v>
      </c>
      <c r="E11" s="790">
        <f t="shared" si="1"/>
        <v>109.24360588761334</v>
      </c>
      <c r="G11" s="45"/>
    </row>
    <row r="12" spans="1:9" ht="15">
      <c r="A12" s="865" t="s">
        <v>332</v>
      </c>
      <c r="B12" s="788">
        <f>'T3-UR rozdíl'!I41+'T10-vynosy'!B12</f>
        <v>293984024</v>
      </c>
      <c r="C12" s="322">
        <f>'T12-HV-HC'!G5+'T13-HV-JC '!F5</f>
        <v>305183705.32000005</v>
      </c>
      <c r="D12" s="323">
        <f t="shared" si="0"/>
        <v>11199681.320000052</v>
      </c>
      <c r="E12" s="790">
        <f t="shared" si="1"/>
        <v>103.80962243036717</v>
      </c>
      <c r="I12" s="45"/>
    </row>
    <row r="13" spans="1:7" ht="15">
      <c r="A13" s="866" t="s">
        <v>333</v>
      </c>
      <c r="B13" s="788">
        <f>'T3-UR rozdíl'!I51+'T10-vynosy'!B13</f>
        <v>19204500</v>
      </c>
      <c r="C13" s="322">
        <f>'T12-HV-HC'!H5</f>
        <v>22135099.189999998</v>
      </c>
      <c r="D13" s="323">
        <f t="shared" si="0"/>
        <v>2930599.1899999976</v>
      </c>
      <c r="E13" s="790">
        <f t="shared" si="1"/>
        <v>115.259960894582</v>
      </c>
      <c r="G13" s="45"/>
    </row>
    <row r="14" spans="1:5" ht="15">
      <c r="A14" s="867" t="s">
        <v>334</v>
      </c>
      <c r="B14" s="788">
        <f>'T3-UR rozdíl'!I61+'T10-vynosy'!B14</f>
        <v>167613391.85</v>
      </c>
      <c r="C14" s="322">
        <f>'T12-HV-HC'!I5+'T13-HV-JC '!G5</f>
        <v>157629513.69999996</v>
      </c>
      <c r="D14" s="323">
        <f t="shared" si="0"/>
        <v>-9983878.150000036</v>
      </c>
      <c r="E14" s="790">
        <f t="shared" si="1"/>
        <v>94.0435080754557</v>
      </c>
    </row>
    <row r="15" spans="1:7" ht="15">
      <c r="A15" s="867" t="s">
        <v>202</v>
      </c>
      <c r="B15" s="788">
        <f>'T3-UR rozdíl'!I71+'T10-vynosy'!B15</f>
        <v>199845439.17</v>
      </c>
      <c r="C15" s="322">
        <f>'T12-HV-HC'!J5+'T13-HV-JC '!H5</f>
        <v>192649166.43999997</v>
      </c>
      <c r="D15" s="323">
        <f t="shared" si="0"/>
        <v>-7196272.730000019</v>
      </c>
      <c r="E15" s="790">
        <f t="shared" si="1"/>
        <v>96.39908082972138</v>
      </c>
      <c r="G15" s="45"/>
    </row>
    <row r="16" spans="1:5" ht="15">
      <c r="A16" s="867" t="s">
        <v>3</v>
      </c>
      <c r="B16" s="788">
        <f>'T3-UR rozdíl'!I81+'T10-vynosy'!B16</f>
        <v>6570280</v>
      </c>
      <c r="C16" s="322">
        <f>'T12-HV-HC'!K5</f>
        <v>6629063.930000001</v>
      </c>
      <c r="D16" s="323">
        <f t="shared" si="0"/>
        <v>58783.93000000063</v>
      </c>
      <c r="E16" s="790">
        <f t="shared" si="1"/>
        <v>100.89469444224599</v>
      </c>
    </row>
    <row r="17" spans="1:5" ht="15.75" thickBot="1">
      <c r="A17" s="867" t="s">
        <v>443</v>
      </c>
      <c r="B17" s="788">
        <f>'T3-UR rozdíl'!I91+'T10-vynosy'!B17</f>
        <v>14639367</v>
      </c>
      <c r="C17" s="322">
        <f>'T12-HV-HC'!L5</f>
        <v>15200659.850000001</v>
      </c>
      <c r="D17" s="323">
        <f t="shared" si="0"/>
        <v>561292.8500000015</v>
      </c>
      <c r="E17" s="790">
        <f t="shared" si="1"/>
        <v>103.83413333377052</v>
      </c>
    </row>
    <row r="18" spans="1:5" ht="16.5" thickBot="1">
      <c r="A18" s="868" t="s">
        <v>10</v>
      </c>
      <c r="B18" s="791">
        <f>SUM(B9:B17)</f>
        <v>1158417571.19</v>
      </c>
      <c r="C18" s="324">
        <f>SUM(C9:C17)</f>
        <v>2226885684.24</v>
      </c>
      <c r="D18" s="324">
        <f>SUM(D9:D17)</f>
        <v>1068468113.05</v>
      </c>
      <c r="E18" s="792">
        <f>(C18/B18)*100</f>
        <v>192.2351438395743</v>
      </c>
    </row>
    <row r="22" ht="12.75">
      <c r="A22" s="133"/>
    </row>
  </sheetData>
  <sheetProtection/>
  <printOptions horizontalCentered="1"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="6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38" sqref="K38"/>
    </sheetView>
  </sheetViews>
  <sheetFormatPr defaultColWidth="9.140625" defaultRowHeight="12.75"/>
  <cols>
    <col min="1" max="1" width="19.421875" style="40" customWidth="1"/>
    <col min="2" max="2" width="17.421875" style="40" customWidth="1"/>
    <col min="3" max="3" width="17.28125" style="40" customWidth="1"/>
    <col min="4" max="4" width="16.7109375" style="40" customWidth="1"/>
    <col min="5" max="5" width="9.8515625" style="40" customWidth="1"/>
    <col min="6" max="6" width="14.28125" style="40" customWidth="1"/>
    <col min="7" max="7" width="16.00390625" style="40" customWidth="1"/>
    <col min="8" max="8" width="15.00390625" style="40" customWidth="1"/>
    <col min="9" max="9" width="9.8515625" style="40" customWidth="1"/>
    <col min="10" max="10" width="19.8515625" style="40" bestFit="1" customWidth="1"/>
    <col min="11" max="11" width="19.00390625" style="40" customWidth="1"/>
    <col min="12" max="12" width="22.28125" style="40" bestFit="1" customWidth="1"/>
    <col min="13" max="13" width="10.57421875" style="40" customWidth="1"/>
    <col min="14" max="14" width="17.140625" style="40" customWidth="1"/>
    <col min="15" max="15" width="18.8515625" style="40" customWidth="1"/>
    <col min="16" max="16" width="18.7109375" style="40" customWidth="1"/>
    <col min="17" max="17" width="10.421875" style="40" customWidth="1"/>
    <col min="18" max="18" width="3.28125" style="40" customWidth="1"/>
    <col min="19" max="19" width="4.140625" style="40" customWidth="1"/>
    <col min="20" max="16384" width="9.140625" style="40" customWidth="1"/>
  </cols>
  <sheetData>
    <row r="1" ht="12.75">
      <c r="H1" s="13"/>
    </row>
    <row r="2" spans="1:17" ht="15.75">
      <c r="A2" s="41"/>
      <c r="Q2" s="42" t="s">
        <v>91</v>
      </c>
    </row>
    <row r="3" ht="15.75">
      <c r="A3" s="43"/>
    </row>
    <row r="4" ht="15.75">
      <c r="A4" s="43" t="s">
        <v>583</v>
      </c>
    </row>
    <row r="5" ht="15.75">
      <c r="A5" s="43"/>
    </row>
    <row r="6" spans="1:17" ht="16.5" thickBot="1">
      <c r="A6" s="43"/>
      <c r="E6" s="44"/>
      <c r="H6" s="44"/>
      <c r="Q6" s="45" t="s">
        <v>317</v>
      </c>
    </row>
    <row r="7" spans="1:17" ht="39" thickBot="1">
      <c r="A7" s="46"/>
      <c r="B7" s="407" t="s">
        <v>92</v>
      </c>
      <c r="C7" s="408" t="s">
        <v>93</v>
      </c>
      <c r="D7" s="409" t="s">
        <v>472</v>
      </c>
      <c r="E7" s="405" t="s">
        <v>94</v>
      </c>
      <c r="F7" s="407" t="s">
        <v>95</v>
      </c>
      <c r="G7" s="408" t="s">
        <v>639</v>
      </c>
      <c r="H7" s="409" t="s">
        <v>455</v>
      </c>
      <c r="I7" s="405" t="s">
        <v>94</v>
      </c>
      <c r="J7" s="407" t="s">
        <v>96</v>
      </c>
      <c r="K7" s="412" t="s">
        <v>93</v>
      </c>
      <c r="L7" s="409" t="s">
        <v>455</v>
      </c>
      <c r="M7" s="405" t="s">
        <v>94</v>
      </c>
      <c r="N7" s="407" t="s">
        <v>97</v>
      </c>
      <c r="O7" s="412" t="s">
        <v>93</v>
      </c>
      <c r="P7" s="409" t="s">
        <v>455</v>
      </c>
      <c r="Q7" s="405" t="s">
        <v>94</v>
      </c>
    </row>
    <row r="8" spans="1:17" ht="13.5" thickBot="1">
      <c r="A8" s="159"/>
      <c r="B8" s="529" t="s">
        <v>98</v>
      </c>
      <c r="C8" s="410" t="s">
        <v>99</v>
      </c>
      <c r="D8" s="411" t="s">
        <v>100</v>
      </c>
      <c r="E8" s="406" t="s">
        <v>101</v>
      </c>
      <c r="F8" s="529" t="s">
        <v>98</v>
      </c>
      <c r="G8" s="410" t="s">
        <v>99</v>
      </c>
      <c r="H8" s="411" t="s">
        <v>100</v>
      </c>
      <c r="I8" s="406" t="s">
        <v>101</v>
      </c>
      <c r="J8" s="529" t="s">
        <v>98</v>
      </c>
      <c r="K8" s="410" t="s">
        <v>99</v>
      </c>
      <c r="L8" s="411" t="s">
        <v>100</v>
      </c>
      <c r="M8" s="406" t="s">
        <v>101</v>
      </c>
      <c r="N8" s="529" t="s">
        <v>98</v>
      </c>
      <c r="O8" s="413" t="s">
        <v>99</v>
      </c>
      <c r="P8" s="411" t="s">
        <v>100</v>
      </c>
      <c r="Q8" s="406" t="s">
        <v>101</v>
      </c>
    </row>
    <row r="9" spans="1:17" ht="12.75">
      <c r="A9" s="158" t="s">
        <v>330</v>
      </c>
      <c r="B9" s="530">
        <f>('T3-UR rozdíl'!E11+'T3-UR rozdíl'!E12)</f>
        <v>16567884</v>
      </c>
      <c r="C9" s="325">
        <f>'T12-HV-HC'!D20</f>
        <v>23199757.48</v>
      </c>
      <c r="D9" s="326">
        <f aca="true" t="shared" si="0" ref="D9:D17">C9-B9</f>
        <v>6631873.48</v>
      </c>
      <c r="E9" s="793">
        <f>(C9/B9)*100</f>
        <v>140.0284881279951</v>
      </c>
      <c r="F9" s="530">
        <f>('T3-UR rozdíl'!F11+'T3-UR rozdíl'!F12)</f>
        <v>678470</v>
      </c>
      <c r="G9" s="325">
        <f>'T12-HV-HC'!D22</f>
        <v>3196740.51</v>
      </c>
      <c r="H9" s="326">
        <f>G9-F9</f>
        <v>2518270.51</v>
      </c>
      <c r="I9" s="793">
        <f>(G9/F9)*100</f>
        <v>471.16902884431147</v>
      </c>
      <c r="J9" s="531">
        <f>('T3-UR rozdíl'!H11+'T3-UR rozdíl'!H12)+'T1-UR16'!N19</f>
        <v>96653500</v>
      </c>
      <c r="K9" s="325">
        <f>'T12-HV-HC'!D5-'T12-HV-HC'!D19-'T12-HV-HC'!D20-'T12-HV-HC'!D22</f>
        <v>1159949957.86</v>
      </c>
      <c r="L9" s="326">
        <f aca="true" t="shared" si="1" ref="L9:L17">K9-J9</f>
        <v>1063296457.8599999</v>
      </c>
      <c r="M9" s="793">
        <f>(K9/J9)*100</f>
        <v>1200.1116957585602</v>
      </c>
      <c r="N9" s="530">
        <f aca="true" t="shared" si="2" ref="N9:N17">B9+F9+J9</f>
        <v>113899854</v>
      </c>
      <c r="O9" s="388">
        <f aca="true" t="shared" si="3" ref="O9:O17">C9+G9+K9</f>
        <v>1186346455.85</v>
      </c>
      <c r="P9" s="326">
        <f aca="true" t="shared" si="4" ref="P9:P17">O9-N9</f>
        <v>1072446601.8499999</v>
      </c>
      <c r="Q9" s="793">
        <f>(O9/N9)*100</f>
        <v>1041.5697774731123</v>
      </c>
    </row>
    <row r="10" spans="1:17" ht="12.75">
      <c r="A10" s="47" t="s">
        <v>201</v>
      </c>
      <c r="B10" s="531">
        <f>('T3-UR rozdíl'!E21+'T3-UR rozdíl'!E22)</f>
        <v>41377067.31</v>
      </c>
      <c r="C10" s="327">
        <f>'T12-HV-HC'!E20</f>
        <v>33917185</v>
      </c>
      <c r="D10" s="326">
        <f t="shared" si="0"/>
        <v>-7459882.310000002</v>
      </c>
      <c r="E10" s="794">
        <f>(C10/B10)*100</f>
        <v>81.97097379060236</v>
      </c>
      <c r="F10" s="531">
        <f>('T3-UR rozdíl'!F21+'T3-UR rozdíl'!F22)</f>
        <v>1411300</v>
      </c>
      <c r="G10" s="325">
        <f>'T12-HV-HC'!E22</f>
        <v>3937500.36</v>
      </c>
      <c r="H10" s="328">
        <f aca="true" t="shared" si="5" ref="H10:H17">G10-F10</f>
        <v>2526200.36</v>
      </c>
      <c r="I10" s="794">
        <f>(G10/F10)*100</f>
        <v>278.998112378658</v>
      </c>
      <c r="J10" s="531">
        <f>('T3-UR rozdíl'!H21+'T3-UR rozdíl'!H22)+'T1-UR16'!N34</f>
        <v>63557157.58</v>
      </c>
      <c r="K10" s="327">
        <f>'T12-HV-HC'!E5-'T12-HV-HC'!E19-'T12-HV-HC'!E20-'T12-HV-HC'!E22</f>
        <v>58351075.95</v>
      </c>
      <c r="L10" s="328">
        <f t="shared" si="1"/>
        <v>-5206081.629999995</v>
      </c>
      <c r="M10" s="794">
        <f>(K10/J10)*100</f>
        <v>91.80881929238724</v>
      </c>
      <c r="N10" s="531">
        <f t="shared" si="2"/>
        <v>106345524.89</v>
      </c>
      <c r="O10" s="389">
        <f t="shared" si="3"/>
        <v>96205761.31</v>
      </c>
      <c r="P10" s="328">
        <f t="shared" si="4"/>
        <v>-10139763.579999998</v>
      </c>
      <c r="Q10" s="794">
        <f>(O10/N10)*100</f>
        <v>90.4652653785966</v>
      </c>
    </row>
    <row r="11" spans="1:17" ht="12.75">
      <c r="A11" s="47" t="s">
        <v>331</v>
      </c>
      <c r="B11" s="531">
        <f>('T3-UR rozdíl'!E31+'T3-UR rozdíl'!E32)</f>
        <v>5817455</v>
      </c>
      <c r="C11" s="327">
        <f>'T12-HV-HC'!F20</f>
        <v>5839377</v>
      </c>
      <c r="D11" s="326">
        <f t="shared" si="0"/>
        <v>21922</v>
      </c>
      <c r="E11" s="794">
        <f>(C11/B11)*100</f>
        <v>100.37683144949123</v>
      </c>
      <c r="F11" s="531">
        <f>('T3-UR rozdíl'!F31+'T3-UR rozdíl'!F32)</f>
        <v>234424</v>
      </c>
      <c r="G11" s="325">
        <f>'T12-HV-HC'!F22</f>
        <v>241872</v>
      </c>
      <c r="H11" s="328">
        <f t="shared" si="5"/>
        <v>7448</v>
      </c>
      <c r="I11" s="794">
        <f>(G11/F11)*100</f>
        <v>103.17714909736205</v>
      </c>
      <c r="J11" s="531">
        <f>('T3-UR rozdíl'!H31+'T3-UR rozdíl'!H32)+'T1-UR16'!N40</f>
        <v>12078098</v>
      </c>
      <c r="K11" s="327">
        <f>'T12-HV-HC'!F5-'T12-HV-HC'!F19-'T12-HV-HC'!F20-'T12-HV-HC'!F22</f>
        <v>15035622.120000005</v>
      </c>
      <c r="L11" s="328">
        <f t="shared" si="1"/>
        <v>2957524.120000005</v>
      </c>
      <c r="M11" s="794">
        <f aca="true" t="shared" si="6" ref="M11:M18">(K11/J11)*100</f>
        <v>124.48667099737065</v>
      </c>
      <c r="N11" s="531">
        <f t="shared" si="2"/>
        <v>18129977</v>
      </c>
      <c r="O11" s="389">
        <f t="shared" si="3"/>
        <v>21116871.120000005</v>
      </c>
      <c r="P11" s="328">
        <f t="shared" si="4"/>
        <v>2986894.120000005</v>
      </c>
      <c r="Q11" s="794">
        <f aca="true" t="shared" si="7" ref="Q11:Q17">(O11/N11)*100</f>
        <v>116.47489194277524</v>
      </c>
    </row>
    <row r="12" spans="1:17" ht="12.75">
      <c r="A12" s="48" t="s">
        <v>332</v>
      </c>
      <c r="B12" s="531">
        <f>('T3-UR rozdíl'!E42+'T3-UR rozdíl'!E43)</f>
        <v>13777844</v>
      </c>
      <c r="C12" s="327">
        <f>'T12-HV-HC'!G20</f>
        <v>13724817.52</v>
      </c>
      <c r="D12" s="326">
        <f t="shared" si="0"/>
        <v>-53026.48000000045</v>
      </c>
      <c r="E12" s="794">
        <f>(C12/B12)*100</f>
        <v>99.61513223694504</v>
      </c>
      <c r="F12" s="531">
        <f>('T3-UR rozdíl'!F42+'T3-UR rozdíl'!F43)</f>
        <v>600316</v>
      </c>
      <c r="G12" s="325">
        <f>'T12-HV-HC'!G22</f>
        <v>2103427.07</v>
      </c>
      <c r="H12" s="328">
        <f t="shared" si="5"/>
        <v>1503111.0699999998</v>
      </c>
      <c r="I12" s="794">
        <f>(G12/F12)*100</f>
        <v>350.38664136887905</v>
      </c>
      <c r="J12" s="531">
        <f>('T3-UR rozdíl'!H42+'T3-UR rozdíl'!H43)+'T1-UR16'!N50</f>
        <v>238327943</v>
      </c>
      <c r="K12" s="327">
        <f>'T12-HV-HC'!G5-'T12-HV-HC'!G19-'T12-HV-HC'!G20-'T12-HV-HC'!G22</f>
        <v>248160652.25000003</v>
      </c>
      <c r="L12" s="328">
        <f t="shared" si="1"/>
        <v>9832709.25000003</v>
      </c>
      <c r="M12" s="794">
        <f t="shared" si="6"/>
        <v>104.12570558291607</v>
      </c>
      <c r="N12" s="531">
        <f t="shared" si="2"/>
        <v>252706103</v>
      </c>
      <c r="O12" s="389">
        <f t="shared" si="3"/>
        <v>263988896.84000003</v>
      </c>
      <c r="P12" s="328">
        <f t="shared" si="4"/>
        <v>11282793.840000033</v>
      </c>
      <c r="Q12" s="794">
        <f t="shared" si="7"/>
        <v>104.46478882229451</v>
      </c>
    </row>
    <row r="13" spans="1:17" ht="12.75">
      <c r="A13" s="49" t="s">
        <v>333</v>
      </c>
      <c r="B13" s="531">
        <f>('T3-UR rozdíl'!E52+'T3-UR rozdíl'!E53)</f>
        <v>0</v>
      </c>
      <c r="C13" s="327">
        <f>'T12-HV-HC'!H20</f>
        <v>0</v>
      </c>
      <c r="D13" s="326">
        <f t="shared" si="0"/>
        <v>0</v>
      </c>
      <c r="E13" s="794"/>
      <c r="F13" s="531">
        <f>('T3-UR rozdíl'!F52+'T3-UR rozdíl'!F53)</f>
        <v>0</v>
      </c>
      <c r="G13" s="325">
        <f>'T12-HV-HC'!H22</f>
        <v>0</v>
      </c>
      <c r="H13" s="328">
        <f t="shared" si="5"/>
        <v>0</v>
      </c>
      <c r="I13" s="794"/>
      <c r="J13" s="531">
        <f>('T3-UR rozdíl'!H52+'T3-UR rozdíl'!H53)+'T1-UR16'!N53</f>
        <v>19204500</v>
      </c>
      <c r="K13" s="327">
        <f>'T12-HV-HC'!H5-'T12-HV-HC'!H19-'T12-HV-HC'!H20-'T12-HV-HC'!H22</f>
        <v>22135099.189999998</v>
      </c>
      <c r="L13" s="328">
        <f t="shared" si="1"/>
        <v>2930599.1899999976</v>
      </c>
      <c r="M13" s="794">
        <f t="shared" si="6"/>
        <v>115.259960894582</v>
      </c>
      <c r="N13" s="531">
        <f t="shared" si="2"/>
        <v>19204500</v>
      </c>
      <c r="O13" s="389">
        <f t="shared" si="3"/>
        <v>22135099.189999998</v>
      </c>
      <c r="P13" s="328">
        <f t="shared" si="4"/>
        <v>2930599.1899999976</v>
      </c>
      <c r="Q13" s="794">
        <f t="shared" si="7"/>
        <v>115.259960894582</v>
      </c>
    </row>
    <row r="14" spans="1:17" ht="12.75">
      <c r="A14" s="49" t="s">
        <v>334</v>
      </c>
      <c r="B14" s="531">
        <f>('T3-UR rozdíl'!E62+'T3-UR rozdíl'!E63)</f>
        <v>19106749</v>
      </c>
      <c r="C14" s="327">
        <f>'T12-HV-HC'!I20</f>
        <v>19081818</v>
      </c>
      <c r="D14" s="326">
        <f t="shared" si="0"/>
        <v>-24931</v>
      </c>
      <c r="E14" s="794">
        <f>(C14/B14)*100</f>
        <v>99.86951731034934</v>
      </c>
      <c r="F14" s="531">
        <f>('T3-UR rozdíl'!F62+'T3-UR rozdíl'!F63)</f>
        <v>617725</v>
      </c>
      <c r="G14" s="325">
        <f>'T12-HV-HC'!I22</f>
        <v>1365015.04</v>
      </c>
      <c r="H14" s="328">
        <f t="shared" si="5"/>
        <v>747290.04</v>
      </c>
      <c r="I14" s="794">
        <f>(G14/F14)*100</f>
        <v>220.9745501639079</v>
      </c>
      <c r="J14" s="531">
        <f>('T3-UR rozdíl'!H62+'T3-UR rozdíl'!H63)+'T1-UR16'!N65</f>
        <v>75304293.85</v>
      </c>
      <c r="K14" s="327">
        <f>'T12-HV-HC'!I5-'T12-HV-HC'!I19-'T12-HV-HC'!I20-'T12-HV-HC'!I22</f>
        <v>57971515.20999997</v>
      </c>
      <c r="L14" s="328">
        <f t="shared" si="1"/>
        <v>-17332778.640000023</v>
      </c>
      <c r="M14" s="794">
        <f t="shared" si="6"/>
        <v>76.98301417642199</v>
      </c>
      <c r="N14" s="531">
        <f t="shared" si="2"/>
        <v>95028767.85</v>
      </c>
      <c r="O14" s="389">
        <f t="shared" si="3"/>
        <v>78418348.24999997</v>
      </c>
      <c r="P14" s="328">
        <f t="shared" si="4"/>
        <v>-16610419.600000024</v>
      </c>
      <c r="Q14" s="794">
        <f t="shared" si="7"/>
        <v>82.52064087980277</v>
      </c>
    </row>
    <row r="15" spans="1:17" ht="12.75">
      <c r="A15" s="49" t="s">
        <v>202</v>
      </c>
      <c r="B15" s="531">
        <f>('T3-UR rozdíl'!E72+'T3-UR rozdíl'!E73)</f>
        <v>19848833</v>
      </c>
      <c r="C15" s="327">
        <f>'T12-HV-HC'!J20</f>
        <v>12284794</v>
      </c>
      <c r="D15" s="326">
        <f t="shared" si="0"/>
        <v>-7564039</v>
      </c>
      <c r="E15" s="794">
        <f>(C15/B15)*100</f>
        <v>61.89176965718841</v>
      </c>
      <c r="F15" s="531">
        <f>('T3-UR rozdíl'!F72+'T3-UR rozdíl'!F73)</f>
        <v>362511</v>
      </c>
      <c r="G15" s="325">
        <f>'T12-HV-HC'!J22</f>
        <v>1153896</v>
      </c>
      <c r="H15" s="328">
        <f t="shared" si="5"/>
        <v>791385</v>
      </c>
      <c r="I15" s="794">
        <f>(G15/F15)*100</f>
        <v>318.30647897581036</v>
      </c>
      <c r="J15" s="531">
        <f>('T3-UR rozdíl'!H72+'T3-UR rozdíl'!H73)+'T1-UR16'!N70</f>
        <v>121255174.17</v>
      </c>
      <c r="K15" s="327">
        <f>'T12-HV-HC'!J5-'T12-HV-HC'!J19-'T12-HV-HC'!J20-'T12-HV-HC'!J22</f>
        <v>124552000.19999996</v>
      </c>
      <c r="L15" s="328">
        <f t="shared" si="1"/>
        <v>3296826.0299999565</v>
      </c>
      <c r="M15" s="794">
        <f>(K15/J15)*100</f>
        <v>102.71891575148604</v>
      </c>
      <c r="N15" s="531">
        <f t="shared" si="2"/>
        <v>141466518.17000002</v>
      </c>
      <c r="O15" s="389">
        <f t="shared" si="3"/>
        <v>137990690.19999996</v>
      </c>
      <c r="P15" s="328">
        <f t="shared" si="4"/>
        <v>-3475827.9700000584</v>
      </c>
      <c r="Q15" s="794">
        <f>(O15/N15)*100</f>
        <v>97.54300309715464</v>
      </c>
    </row>
    <row r="16" spans="1:17" ht="12.75">
      <c r="A16" s="49" t="s">
        <v>3</v>
      </c>
      <c r="B16" s="531">
        <f>('T3-UR rozdíl'!E82+'T3-UR rozdíl'!E83)</f>
        <v>988023</v>
      </c>
      <c r="C16" s="327">
        <f>'T12-HV-HC'!K20</f>
        <v>867467</v>
      </c>
      <c r="D16" s="326">
        <f t="shared" si="0"/>
        <v>-120556</v>
      </c>
      <c r="E16" s="794">
        <f>(C16/B16)*100</f>
        <v>87.79825975711091</v>
      </c>
      <c r="F16" s="531">
        <f>('T3-UR rozdíl'!F82+'T3-UR rozdíl'!F83)</f>
        <v>30239</v>
      </c>
      <c r="G16" s="325">
        <f>'T12-HV-HC'!K22</f>
        <v>62851.59</v>
      </c>
      <c r="H16" s="328">
        <f t="shared" si="5"/>
        <v>32612.589999999997</v>
      </c>
      <c r="I16" s="794">
        <f>(G16/F16)*100</f>
        <v>207.84943285161543</v>
      </c>
      <c r="J16" s="531">
        <f>('T3-UR rozdíl'!H82+'T3-UR rozdíl'!H83)+'T1-UR16'!N74</f>
        <v>2571068</v>
      </c>
      <c r="K16" s="327">
        <f>'T12-HV-HC'!K5-'T12-HV-HC'!K19-'T12-HV-HC'!K20-'T12-HV-HC'!K22</f>
        <v>2688313.340000001</v>
      </c>
      <c r="L16" s="328">
        <f t="shared" si="1"/>
        <v>117245.34000000078</v>
      </c>
      <c r="M16" s="794">
        <f t="shared" si="6"/>
        <v>104.56018043863486</v>
      </c>
      <c r="N16" s="531">
        <f t="shared" si="2"/>
        <v>3589330</v>
      </c>
      <c r="O16" s="389">
        <f t="shared" si="3"/>
        <v>3618631.9300000006</v>
      </c>
      <c r="P16" s="328">
        <f t="shared" si="4"/>
        <v>29301.930000000633</v>
      </c>
      <c r="Q16" s="794">
        <f t="shared" si="7"/>
        <v>100.816362106577</v>
      </c>
    </row>
    <row r="17" spans="1:17" ht="13.5" thickBot="1">
      <c r="A17" s="50" t="s">
        <v>443</v>
      </c>
      <c r="B17" s="532">
        <f>('T3-UR rozdíl'!E92+'T3-UR rozdíl'!E93)</f>
        <v>973808</v>
      </c>
      <c r="C17" s="329">
        <f>'T12-HV-HC'!L20</f>
        <v>965062</v>
      </c>
      <c r="D17" s="326">
        <f t="shared" si="0"/>
        <v>-8746</v>
      </c>
      <c r="E17" s="795">
        <f>(C17/B17)*100</f>
        <v>99.10187634523437</v>
      </c>
      <c r="F17" s="532">
        <f>('T3-UR rozdíl'!F92+'T3-UR rozdíl'!F93)</f>
        <v>42301</v>
      </c>
      <c r="G17" s="325">
        <f>'T12-HV-HC'!L22</f>
        <v>106804</v>
      </c>
      <c r="H17" s="328">
        <f t="shared" si="5"/>
        <v>64503</v>
      </c>
      <c r="I17" s="795">
        <f>(G17/F17)*100</f>
        <v>252.4857568378998</v>
      </c>
      <c r="J17" s="532">
        <f>('T3-UR rozdíl'!H92+'T3-UR rozdíl'!H93)+'T1-UR16'!N76</f>
        <v>10018997</v>
      </c>
      <c r="K17" s="329">
        <f>'T12-HV-HC'!L5-'T12-HV-HC'!L19-'T12-HV-HC'!L20-'T12-HV-HC'!L22</f>
        <v>10502909.850000001</v>
      </c>
      <c r="L17" s="328">
        <f t="shared" si="1"/>
        <v>483912.8500000015</v>
      </c>
      <c r="M17" s="795">
        <f t="shared" si="6"/>
        <v>104.82995303821332</v>
      </c>
      <c r="N17" s="532">
        <f t="shared" si="2"/>
        <v>11035106</v>
      </c>
      <c r="O17" s="390">
        <f t="shared" si="3"/>
        <v>11574775.850000001</v>
      </c>
      <c r="P17" s="328">
        <f t="shared" si="4"/>
        <v>539669.8500000015</v>
      </c>
      <c r="Q17" s="795">
        <f t="shared" si="7"/>
        <v>104.89048179510011</v>
      </c>
    </row>
    <row r="18" spans="1:17" ht="16.5" thickBot="1">
      <c r="A18" s="51" t="s">
        <v>10</v>
      </c>
      <c r="B18" s="563">
        <f>SUM(B9:B17)</f>
        <v>118457663.31</v>
      </c>
      <c r="C18" s="330">
        <f>SUM(C9:C17)</f>
        <v>109880278</v>
      </c>
      <c r="D18" s="324">
        <f>SUM(D9:D17)</f>
        <v>-8577385.310000002</v>
      </c>
      <c r="E18" s="796">
        <f>(C18/B18)*100</f>
        <v>92.75911319679399</v>
      </c>
      <c r="F18" s="564">
        <f>SUM(F9:F17)</f>
        <v>3977286</v>
      </c>
      <c r="G18" s="330">
        <f>SUM(G9:G17)</f>
        <v>12168106.57</v>
      </c>
      <c r="H18" s="414">
        <f>SUM(H9:H17)</f>
        <v>8190820.569999999</v>
      </c>
      <c r="I18" s="796">
        <f>(G18/F18)*100</f>
        <v>305.9399442232718</v>
      </c>
      <c r="J18" s="563">
        <f>SUM(J9:J17)</f>
        <v>638970731.5999999</v>
      </c>
      <c r="K18" s="330">
        <f>SUM(K9:K17)</f>
        <v>1699347145.9699998</v>
      </c>
      <c r="L18" s="414">
        <f>SUM(L9:L17)</f>
        <v>1060376414.37</v>
      </c>
      <c r="M18" s="796">
        <f t="shared" si="6"/>
        <v>265.95070195387336</v>
      </c>
      <c r="N18" s="563">
        <f>SUM(N9:N17)</f>
        <v>761405680.9100001</v>
      </c>
      <c r="O18" s="415">
        <f>SUM(O9:O17)</f>
        <v>1821395530.54</v>
      </c>
      <c r="P18" s="414">
        <f>SUM(P9:P17)</f>
        <v>1059989849.63</v>
      </c>
      <c r="Q18" s="787" t="s">
        <v>624</v>
      </c>
    </row>
    <row r="20" ht="13.5" thickBot="1"/>
    <row r="21" spans="6:21" ht="57.75" customHeight="1" thickBot="1">
      <c r="F21" s="407" t="s">
        <v>95</v>
      </c>
      <c r="G21" s="408" t="s">
        <v>638</v>
      </c>
      <c r="H21" s="409" t="s">
        <v>455</v>
      </c>
      <c r="I21" s="405" t="s">
        <v>94</v>
      </c>
      <c r="U21" s="939"/>
    </row>
    <row r="22" spans="6:21" ht="13.5" thickBot="1">
      <c r="F22" s="529" t="s">
        <v>98</v>
      </c>
      <c r="G22" s="410" t="s">
        <v>99</v>
      </c>
      <c r="H22" s="411" t="s">
        <v>100</v>
      </c>
      <c r="I22" s="406" t="s">
        <v>101</v>
      </c>
      <c r="U22" s="939"/>
    </row>
    <row r="23" spans="5:21" ht="12.75">
      <c r="E23" s="940" t="s">
        <v>330</v>
      </c>
      <c r="F23" s="530">
        <v>678470</v>
      </c>
      <c r="G23" s="325">
        <v>881322</v>
      </c>
      <c r="H23" s="326">
        <f>G23-F23</f>
        <v>202852</v>
      </c>
      <c r="I23" s="941">
        <f>(G23/F23)*100</f>
        <v>129.89844797853996</v>
      </c>
      <c r="U23" s="939"/>
    </row>
    <row r="24" spans="5:21" ht="12.75">
      <c r="E24" s="47" t="s">
        <v>201</v>
      </c>
      <c r="F24" s="531">
        <v>1411300</v>
      </c>
      <c r="G24" s="327">
        <v>1128176</v>
      </c>
      <c r="H24" s="328">
        <f aca="true" t="shared" si="8" ref="H24:H31">G24-F24</f>
        <v>-283124</v>
      </c>
      <c r="I24" s="942">
        <f>(G24/F24)*100</f>
        <v>79.93877984836676</v>
      </c>
      <c r="U24" s="939"/>
    </row>
    <row r="25" spans="5:21" ht="12.75">
      <c r="E25" s="47" t="s">
        <v>331</v>
      </c>
      <c r="F25" s="531">
        <v>234424</v>
      </c>
      <c r="G25" s="327">
        <v>238316</v>
      </c>
      <c r="H25" s="328">
        <f t="shared" si="8"/>
        <v>3892</v>
      </c>
      <c r="I25" s="942">
        <f>(G25/F25)*100</f>
        <v>101.66023956591475</v>
      </c>
      <c r="U25" s="939"/>
    </row>
    <row r="26" spans="5:21" ht="12.75">
      <c r="E26" s="48" t="s">
        <v>332</v>
      </c>
      <c r="F26" s="531">
        <v>600316</v>
      </c>
      <c r="G26" s="327">
        <v>600315</v>
      </c>
      <c r="H26" s="328">
        <f t="shared" si="8"/>
        <v>-1</v>
      </c>
      <c r="I26" s="942">
        <f>(G26/F26)*100</f>
        <v>99.9998334210649</v>
      </c>
      <c r="U26" s="939"/>
    </row>
    <row r="27" spans="5:21" ht="12.75">
      <c r="E27" s="943" t="s">
        <v>333</v>
      </c>
      <c r="F27" s="531">
        <v>0</v>
      </c>
      <c r="G27" s="327">
        <v>0</v>
      </c>
      <c r="H27" s="328">
        <f t="shared" si="8"/>
        <v>0</v>
      </c>
      <c r="I27" s="942"/>
      <c r="U27" s="939"/>
    </row>
    <row r="28" spans="5:21" ht="12.75">
      <c r="E28" s="943" t="s">
        <v>334</v>
      </c>
      <c r="F28" s="531">
        <v>617725</v>
      </c>
      <c r="G28" s="327">
        <v>633784</v>
      </c>
      <c r="H28" s="328">
        <f t="shared" si="8"/>
        <v>16059</v>
      </c>
      <c r="I28" s="942">
        <f>(G28/F28)*100</f>
        <v>102.59970051398275</v>
      </c>
      <c r="U28" s="939"/>
    </row>
    <row r="29" spans="5:21" ht="12.75">
      <c r="E29" s="943" t="s">
        <v>202</v>
      </c>
      <c r="F29" s="531">
        <v>362511</v>
      </c>
      <c r="G29" s="327">
        <v>365287</v>
      </c>
      <c r="H29" s="328">
        <f t="shared" si="8"/>
        <v>2776</v>
      </c>
      <c r="I29" s="942">
        <f>(G29/F29)*100</f>
        <v>100.76576986629371</v>
      </c>
      <c r="U29" s="939"/>
    </row>
    <row r="30" spans="5:21" ht="12.75">
      <c r="E30" s="943" t="s">
        <v>3</v>
      </c>
      <c r="F30" s="531">
        <v>30239</v>
      </c>
      <c r="G30" s="327">
        <v>30682</v>
      </c>
      <c r="H30" s="328">
        <f t="shared" si="8"/>
        <v>443</v>
      </c>
      <c r="I30" s="942">
        <f>(G30/F30)*100</f>
        <v>101.46499553556664</v>
      </c>
      <c r="U30" s="939"/>
    </row>
    <row r="31" spans="5:21" ht="13.5" thickBot="1">
      <c r="E31" s="944" t="s">
        <v>443</v>
      </c>
      <c r="F31" s="532">
        <v>42301</v>
      </c>
      <c r="G31" s="329">
        <v>42629</v>
      </c>
      <c r="H31" s="328">
        <f t="shared" si="8"/>
        <v>328</v>
      </c>
      <c r="I31" s="945">
        <f>(G31/F31)*100</f>
        <v>100.77539538072386</v>
      </c>
      <c r="U31" s="939"/>
    </row>
    <row r="32" spans="5:21" ht="15.75" thickBot="1">
      <c r="E32" s="51" t="s">
        <v>9</v>
      </c>
      <c r="F32" s="946">
        <f>SUM(F23:F31)</f>
        <v>3977286</v>
      </c>
      <c r="G32" s="947">
        <f>SUM(G23:G31)</f>
        <v>3920511</v>
      </c>
      <c r="H32" s="948">
        <f>SUM(H23:H31)</f>
        <v>-56775</v>
      </c>
      <c r="I32" s="949">
        <f>(G32/F32)*100</f>
        <v>98.57251904942214</v>
      </c>
      <c r="U32" s="93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Palivcová Markéta</cp:lastModifiedBy>
  <cp:lastPrinted>2017-05-25T13:13:04Z</cp:lastPrinted>
  <dcterms:created xsi:type="dcterms:W3CDTF">2008-02-28T11:41:56Z</dcterms:created>
  <dcterms:modified xsi:type="dcterms:W3CDTF">2017-06-29T11:17:01Z</dcterms:modified>
  <cp:category/>
  <cp:version/>
  <cp:contentType/>
  <cp:contentStatus/>
</cp:coreProperties>
</file>