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608" windowHeight="7872" tabRatio="809" activeTab="0"/>
  </bookViews>
  <sheets>
    <sheet name="1_Bilance" sheetId="1" r:id="rId1"/>
    <sheet name="2_A + K" sheetId="2" r:id="rId2"/>
    <sheet name="3_A " sheetId="3" r:id="rId3"/>
    <sheet name="4_K" sheetId="4" r:id="rId4"/>
    <sheet name="5_C" sheetId="5" r:id="rId5"/>
    <sheet name=" 6_F-U3V " sheetId="6" r:id="rId6"/>
    <sheet name="7_F-SSP" sheetId="7" r:id="rId7"/>
    <sheet name="8_G" sheetId="8" r:id="rId8"/>
    <sheet name="9_I" sheetId="9" r:id="rId9"/>
    <sheet name="10_J" sheetId="10" r:id="rId10"/>
    <sheet name="11_U" sheetId="11" r:id="rId11"/>
  </sheets>
  <definedNames>
    <definedName name="_xlnm._FilterDatabase" localSheetId="2" hidden="1">'3_A '!$A$11:$N$150</definedName>
    <definedName name="_xlnm.Print_Titles" localSheetId="2">'3_A '!$10:$12</definedName>
    <definedName name="_xlnm.Print_Area" localSheetId="0">'1_Bilance'!$A$1:$R$63</definedName>
    <definedName name="_xlnm.Print_Area" localSheetId="9">'10_J'!$A$1:$F$39</definedName>
    <definedName name="_xlnm.Print_Area" localSheetId="10">'11_U'!$A$1:$I$45</definedName>
    <definedName name="_xlnm.Print_Area" localSheetId="1">'2_A + K'!$A$1:$I$38</definedName>
    <definedName name="_xlnm.Print_Area" localSheetId="2">'3_A '!$A$1:$N$256</definedName>
    <definedName name="_xlnm.Print_Area" localSheetId="3">'4_K'!$A$1:$BG$145</definedName>
    <definedName name="_xlnm.Print_Area" localSheetId="4">'5_C'!$A$1:$F$41</definedName>
  </definedNames>
  <calcPr fullCalcOnLoad="1"/>
</workbook>
</file>

<file path=xl/comments1.xml><?xml version="1.0" encoding="utf-8"?>
<comments xmlns="http://schemas.openxmlformats.org/spreadsheetml/2006/main">
  <authors>
    <author>Pospíšilová Lenka</author>
  </authors>
  <commentList>
    <comment ref="A5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Podíl institucionální části rozpočtu a počtu normativních studentů; (A+K)/norm. počet studentů.</t>
        </r>
      </text>
    </comment>
    <comment ref="J5" authorId="0">
      <text>
        <r>
          <rPr>
            <b/>
            <sz val="10"/>
            <rFont val="Tahoma"/>
            <family val="2"/>
          </rPr>
          <t>Pospíšilová Lenka:</t>
        </r>
        <r>
          <rPr>
            <sz val="10"/>
            <rFont val="Tahoma"/>
            <family val="2"/>
          </rPr>
          <t xml:space="preserve">
Výpočtové stipendium pro 1 studenta doktorského studijního programu (rok 2008 i r. 2009 88775 Kč, v roce 2010 zvýšení o 5,2% na 93 380 Kč)</t>
        </r>
      </text>
    </comment>
    <comment ref="A6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Podíl části rozpočtu v ukazateli A a normativního počtu studentů.</t>
        </r>
      </text>
    </comment>
    <comment ref="J6" authorId="0">
      <text>
        <r>
          <rPr>
            <b/>
            <sz val="10"/>
            <rFont val="Tahoma"/>
            <family val="2"/>
          </rPr>
          <t>Pospíšilová Lenka:</t>
        </r>
        <r>
          <rPr>
            <sz val="10"/>
            <rFont val="Tahoma"/>
            <family val="2"/>
          </rPr>
          <t xml:space="preserve">
(r. 2006 - 6395 Kč, r.2007 - 6500 Kč, r. 2008 - 6500 Kč, r. 2009 - 6500 Kč)</t>
        </r>
      </text>
    </comment>
    <comment ref="J7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(§91 odst. 3 zákona č. 111/1998 Sb., o vysokých školách), přiznává se na 10 měs. v roce</t>
        </r>
      </text>
    </comment>
    <comment ref="J8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 (r. 2007, r. 2008 i r. 2009 - 23 Kč)</t>
        </r>
      </text>
    </comment>
    <comment ref="H54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nové VVŠ - 35 mil. Kč
tlumočniscké služby pro neslyšící - 2 mil. Kč
genofondy - 13 mil. Kč
ostatní - 15 mil. Kč</t>
        </r>
      </text>
    </comment>
    <comment ref="I54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nove VVŠ - 25 mil. Kč
neslyšící - 2 mil. Kč
ostatní - 15 mil. Kč</t>
        </r>
      </text>
    </comment>
    <comment ref="L55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podpora tvůrčích činností - 40 mil. Kč</t>
        </r>
      </text>
    </comment>
  </commentList>
</comments>
</file>

<file path=xl/comments4.xml><?xml version="1.0" encoding="utf-8"?>
<comments xmlns="http://schemas.openxmlformats.org/spreadsheetml/2006/main">
  <authors>
    <author>Pospíšilová Lenka</author>
  </authors>
  <commentList>
    <comment ref="E4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Součet výsledků RUV za 4 roky: 2008, 2009, 2010, 2011</t>
        </r>
      </text>
    </comment>
    <comment ref="C4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použité údaje jsou za období 2006-2010, zveřejněné v lednu 2012 (zpracovávané v roce 2011).</t>
        </r>
      </text>
    </comment>
  </commentList>
</comments>
</file>

<file path=xl/sharedStrings.xml><?xml version="1.0" encoding="utf-8"?>
<sst xmlns="http://schemas.openxmlformats.org/spreadsheetml/2006/main" count="1200" uniqueCount="452">
  <si>
    <t>(nezahrnuje dotace na programy reprodukce majetku; prostředky určené na programy spolufinancované s EU jsou na konci tabulky odečteny)</t>
  </si>
  <si>
    <t>Položka</t>
  </si>
  <si>
    <t>Rok 2010</t>
  </si>
  <si>
    <t>Rok 2011</t>
  </si>
  <si>
    <t>Průměrný normativ</t>
  </si>
  <si>
    <t>Výpočtové stipendium v doktorském studiu</t>
  </si>
  <si>
    <t>Základní normativ</t>
  </si>
  <si>
    <t xml:space="preserve">Výpočtové ubytovací stipendium na 1 studenta </t>
  </si>
  <si>
    <t xml:space="preserve">Normativ absolventa </t>
  </si>
  <si>
    <t>x</t>
  </si>
  <si>
    <t>Měsíční sociální stipendium</t>
  </si>
  <si>
    <t>Výpočtová dotace na 1  jídlo</t>
  </si>
  <si>
    <t>Příspěvek *)</t>
  </si>
  <si>
    <t>Dotace *)</t>
  </si>
  <si>
    <t>Název ukazatele / položky</t>
  </si>
  <si>
    <r>
      <t xml:space="preserve">Rozpočet 2010 
</t>
    </r>
    <r>
      <rPr>
        <sz val="11"/>
        <rFont val="Arial"/>
        <family val="2"/>
      </rPr>
      <t>(+ 800 mil. Kč)</t>
    </r>
  </si>
  <si>
    <r>
      <t xml:space="preserve">Rozpočet 2011 
</t>
    </r>
    <r>
      <rPr>
        <sz val="11"/>
        <rFont val="Arial"/>
        <family val="2"/>
      </rPr>
      <t>(+ 1000 mil. Kč)</t>
    </r>
  </si>
  <si>
    <r>
      <t xml:space="preserve">% podíl z celku </t>
    </r>
    <r>
      <rPr>
        <i/>
        <sz val="11"/>
        <color indexed="23"/>
        <rFont val="Arial"/>
        <family val="2"/>
      </rPr>
      <t>(sl. 3)</t>
    </r>
  </si>
  <si>
    <r>
      <t xml:space="preserve">Meziroční vývoj 
</t>
    </r>
    <r>
      <rPr>
        <i/>
        <sz val="11"/>
        <color indexed="23"/>
        <rFont val="Arial"/>
        <family val="2"/>
      </rPr>
      <t>(sl. 3 vs 2)</t>
    </r>
  </si>
  <si>
    <t>Rozpočet 2012</t>
  </si>
  <si>
    <r>
      <t xml:space="preserve">% podíl z celku </t>
    </r>
    <r>
      <rPr>
        <i/>
        <sz val="11"/>
        <color indexed="23"/>
        <rFont val="Arial"/>
        <family val="2"/>
      </rPr>
      <t>(sl. 6)</t>
    </r>
  </si>
  <si>
    <r>
      <t xml:space="preserve">Meziroční vývoj 
</t>
    </r>
    <r>
      <rPr>
        <i/>
        <sz val="11"/>
        <color indexed="23"/>
        <rFont val="Arial"/>
        <family val="2"/>
      </rPr>
      <t>(sl. 6 vs 3)</t>
    </r>
  </si>
  <si>
    <t>Rozpočtový okruh 1, institucionální část rozpočtu</t>
  </si>
  <si>
    <t>P</t>
  </si>
  <si>
    <t>Ukazatel A+B1 - studijní programy</t>
  </si>
  <si>
    <t xml:space="preserve">Ukazatel B 2 - studijní programy, bonifikace za absolventy B,M,N,P </t>
  </si>
  <si>
    <t>Ukazatel K (dříve B3) - kvalita a výkon</t>
  </si>
  <si>
    <t>Celkem normativní část rozpočtu</t>
  </si>
  <si>
    <t>Rozpočtový okruh II, Sociální záležitosti studentů</t>
  </si>
  <si>
    <t>Ukazatel C - stipendia pro studenty doktorských stud. prog.</t>
  </si>
  <si>
    <t>D</t>
  </si>
  <si>
    <t>Ukazatel J - dotace na ubytování a stravování studentů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</si>
  <si>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</si>
  <si>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</si>
  <si>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</si>
  <si>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</si>
  <si>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Celkem sociální záležitosti studentů</t>
  </si>
  <si>
    <t>Rozpočtový okruh III, Rozvoj vysokých škol</t>
  </si>
  <si>
    <t>Ukazatel G - fond rozvoje vysokých škol</t>
  </si>
  <si>
    <t xml:space="preserve">Ukazatel I - rozvojové programy </t>
  </si>
  <si>
    <t>Celkem rozvoj vysokých škol</t>
  </si>
  <si>
    <t>Rozpočtový okruh IV, Mezinárodní spolupráce a ostatní</t>
  </si>
  <si>
    <t>V tom:</t>
  </si>
  <si>
    <t>AKCION</t>
  </si>
  <si>
    <t>CEEPUS</t>
  </si>
  <si>
    <t>ERASMUS</t>
  </si>
  <si>
    <t>Letní školy slovanských studií</t>
  </si>
  <si>
    <t>Ukazatel F - Fond vzdělávací politiky</t>
  </si>
  <si>
    <t>Soukromé VŠ</t>
  </si>
  <si>
    <t>Univerzita obrany</t>
  </si>
  <si>
    <t>Univerzita třetího věku (U3V)</t>
  </si>
  <si>
    <t>Studium studentů se specifickými potřebami</t>
  </si>
  <si>
    <t>Celkem Mezinárodní spolupráce a ostatní</t>
  </si>
  <si>
    <r>
      <t xml:space="preserve">Celkem příspěvek + dotace </t>
    </r>
  </si>
  <si>
    <t>Prostředky přidělené sekci 4 pro účely spolufinancování programu VaVpI</t>
  </si>
  <si>
    <t>Ukazatel rozpočtu vysokých škol</t>
  </si>
  <si>
    <t>Rozdíl</t>
  </si>
  <si>
    <t>*) V některých ukazatelích může být poskytnut příspěvek nebo dotace v závislosti na účelu, na který se poskytuje.</t>
  </si>
  <si>
    <t xml:space="preserve"> </t>
  </si>
  <si>
    <t>Rok 2012</t>
  </si>
  <si>
    <t>Rok 2013</t>
  </si>
  <si>
    <t>Rozpočet 2013</t>
  </si>
  <si>
    <t>Mezivládní dohody (zahraniční studenti)</t>
  </si>
  <si>
    <t>Zahraniční rozvojová pomoc</t>
  </si>
  <si>
    <t>Krajanský vzdělávací program</t>
  </si>
  <si>
    <t>Mezivládní dohody (cestovní náhrady českých pedagogů, studentů)</t>
  </si>
  <si>
    <t>Ukazatel D - mezinárodní spolupráce</t>
  </si>
  <si>
    <t>v tom</t>
  </si>
  <si>
    <t>Centralizované rozvojové projekty</t>
  </si>
  <si>
    <t>Institucionální rozvojové plány (dříve decentralizované)</t>
  </si>
  <si>
    <t>Systémová podpora VŠ</t>
  </si>
  <si>
    <t>Registr uměleckých výstupů (RUV)</t>
  </si>
  <si>
    <t>další</t>
  </si>
  <si>
    <t>Mimořádné aktivity a ostatní</t>
  </si>
  <si>
    <t>Ukazatel C - stipendia pro doktorandy v roce 2013</t>
  </si>
  <si>
    <t>Výstup ze SIMS podle stavu k 31. 10. 2012</t>
  </si>
  <si>
    <t>Kód VŠ</t>
  </si>
  <si>
    <t>Název VŠ</t>
  </si>
  <si>
    <t>Počet stud. v DSPSP</t>
  </si>
  <si>
    <t>tis. Kč</t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</si>
  <si>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</si>
  <si>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</si>
  <si>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</si>
  <si>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</si>
  <si>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</si>
  <si>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>Veterinární a farmaceutická univerzita Brno</t>
  </si>
  <si>
    <t>Ostravská univerzita v Ostravě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</si>
  <si>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</si>
  <si>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</si>
  <si>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</si>
  <si>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</si>
  <si>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</si>
  <si>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</si>
  <si>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</si>
  <si>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</si>
  <si>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-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</si>
  <si>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</si>
  <si>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</si>
  <si>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</si>
  <si>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</si>
  <si>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</si>
  <si>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</si>
  <si>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uměleckoprůmyslová v Praze</t>
  </si>
  <si>
    <t>Janáčkova akademie múzických umění v Brně</t>
  </si>
  <si>
    <t>Vysoká škola polytechnická Jihlava</t>
  </si>
  <si>
    <t>Vysoká škola technická a ekonomická v Českých Budějovicích</t>
  </si>
  <si>
    <t>Celkem</t>
  </si>
  <si>
    <t>Částka v rozpočtu</t>
  </si>
  <si>
    <t>Výpočtová částka (tis. Kč) před zaokrouhlením</t>
  </si>
  <si>
    <t>Rok</t>
  </si>
  <si>
    <t>Jednotková roční výpočtová částka na jedno stipendium činí (Kč)</t>
  </si>
  <si>
    <t>Meziroční změna v roční výpočtové částce na jedno stipendium</t>
  </si>
  <si>
    <t>Počet studentů v DSPSP</t>
  </si>
  <si>
    <t>Meziroční změna v počtu studentů</t>
  </si>
  <si>
    <t>VŠ</t>
  </si>
  <si>
    <t>celkový počet vydaných jídel v menzách VŠ</t>
  </si>
  <si>
    <t>dotace</t>
  </si>
  <si>
    <t>teplých</t>
  </si>
  <si>
    <t>studených</t>
  </si>
  <si>
    <t>stud. přepočt.</t>
  </si>
  <si>
    <t>celkem tep. + st. přep.</t>
  </si>
  <si>
    <t>v tis. Kč</t>
  </si>
  <si>
    <t>UK</t>
  </si>
  <si>
    <t>JU</t>
  </si>
  <si>
    <t>UJEP</t>
  </si>
  <si>
    <t>MU</t>
  </si>
  <si>
    <t>UPOL</t>
  </si>
  <si>
    <t>VFU</t>
  </si>
  <si>
    <t>OU</t>
  </si>
  <si>
    <t>UHK</t>
  </si>
  <si>
    <t>SU</t>
  </si>
  <si>
    <t>ČVUT</t>
  </si>
  <si>
    <t>VŠCHT</t>
  </si>
  <si>
    <t>ZU</t>
  </si>
  <si>
    <t>TUL</t>
  </si>
  <si>
    <t>UPAR</t>
  </si>
  <si>
    <t>VUT</t>
  </si>
  <si>
    <t>TUO</t>
  </si>
  <si>
    <t>UTB</t>
  </si>
  <si>
    <t>VŠE</t>
  </si>
  <si>
    <t>ČZU</t>
  </si>
  <si>
    <t>MENDELU</t>
  </si>
  <si>
    <t>AMU</t>
  </si>
  <si>
    <t>AVU</t>
  </si>
  <si>
    <t>VŠUP</t>
  </si>
  <si>
    <t>JAMU</t>
  </si>
  <si>
    <t>VŠPJ</t>
  </si>
  <si>
    <t>VŠTE</t>
  </si>
  <si>
    <t>Roční částka na stravování podle ukazatele J (v tis. Kč)</t>
  </si>
  <si>
    <t>Normativ na jedno hlavní jídlo (v Kč)</t>
  </si>
  <si>
    <t>Celková výpočtová hodnota před zaokrouhlením (tis. Kč)</t>
  </si>
  <si>
    <t>Výstup SIMS k 31.10.2012</t>
  </si>
  <si>
    <t>Kód VVŠ</t>
  </si>
  <si>
    <t>Počet studentů</t>
  </si>
  <si>
    <t>Počet nároků VVŠ</t>
  </si>
  <si>
    <t>Bankovní institut vysoká škola Praha, a.s.</t>
  </si>
  <si>
    <t>Počet nároků SVŠ</t>
  </si>
  <si>
    <t>Evropský polytechnický institut, s.r.o.</t>
  </si>
  <si>
    <t>Součet</t>
  </si>
  <si>
    <t>Vysoká škola hotelová v Praze 8, spol. s r.o.</t>
  </si>
  <si>
    <t xml:space="preserve">Částka určená v rozpočtu </t>
  </si>
  <si>
    <t>Vysoká škola finanční a správní, o.p.s.</t>
  </si>
  <si>
    <t>Jednotková sazba</t>
  </si>
  <si>
    <t>Vysoká škola Karlovy Vary, o.p.s.</t>
  </si>
  <si>
    <t>VVŠ (tis. Kč)</t>
  </si>
  <si>
    <t>ŠKODA AUTO a.s. Vysoká škola</t>
  </si>
  <si>
    <t>SVŠ (tis. Kč)</t>
  </si>
  <si>
    <t>Literární akademie (Soukromá vysoká škola Josefa Škvoreckého) s.r.o.</t>
  </si>
  <si>
    <t>Vysoká škola podnikání, a.s.</t>
  </si>
  <si>
    <t>6B00</t>
  </si>
  <si>
    <t>Vysoká škola ekonomie a managementu, o.p.s.</t>
  </si>
  <si>
    <t>Veřejné vysoké školy</t>
  </si>
  <si>
    <t>6D00</t>
  </si>
  <si>
    <t>University of New York in Prague, s.r.o.</t>
  </si>
  <si>
    <t>6E00 </t>
  </si>
  <si>
    <t>Vysoká škola manažerské informatiky a ekonomiky, a.s.</t>
  </si>
  <si>
    <t>6F00</t>
  </si>
  <si>
    <t>Vysoká škola mezinárodních a veřejných vztahů Praha, o.p.s.</t>
  </si>
  <si>
    <t>6G00</t>
  </si>
  <si>
    <t>Mezinárodní baptistický teologický seminář Evropské baptistické federace, o.p.s.</t>
  </si>
  <si>
    <t>6J00</t>
  </si>
  <si>
    <t>Academia Rerum Civilium - Vysoká škola politických a společenských věd, s.r.o.</t>
  </si>
  <si>
    <t>6K00</t>
  </si>
  <si>
    <t>Vysoká škola evropských a regionálních studií, o.p.s.</t>
  </si>
  <si>
    <t>6L00</t>
  </si>
  <si>
    <t>Rašínova vysoká škola, s.r.o.</t>
  </si>
  <si>
    <t>6M00</t>
  </si>
  <si>
    <t>Vysoká škola regionálního rozvoje, s.r.o.</t>
  </si>
  <si>
    <t>6N00</t>
  </si>
  <si>
    <t>Filmová akademie Miroslava Ondříčka v Písku, o.p.s.</t>
  </si>
  <si>
    <t>6P00</t>
  </si>
  <si>
    <t>Vysoká škola tělesné výchovy a sportu Palestra, s.r.o.</t>
  </si>
  <si>
    <t>6Q00</t>
  </si>
  <si>
    <t>Newton College a.s.</t>
  </si>
  <si>
    <t>6R00</t>
  </si>
  <si>
    <t>Vysoká škola logistiky o.p.s.</t>
  </si>
  <si>
    <t>6S00</t>
  </si>
  <si>
    <t>Vysoká škola zdravotnická, o.p.s.</t>
  </si>
  <si>
    <t>Soukromá vysoká škola ekonomických studií, s.r.o.</t>
  </si>
  <si>
    <t>Vysoká škola obchodní v Praze, o.p.s.</t>
  </si>
  <si>
    <t>Akademie STING, o.p.s.</t>
  </si>
  <si>
    <t>Metropolitní univerzita v Praze, o.p.s.</t>
  </si>
  <si>
    <t>Univerzita Jana Amose Komenského Praha s.r.o.</t>
  </si>
  <si>
    <t>Vysoká škola Karla Engliše v Brně, a.s.</t>
  </si>
  <si>
    <t>Anglo-americká vysoká škola, o.p.s.</t>
  </si>
  <si>
    <t>Pražská vysoká škola psychosociálních studií, s.r.o.</t>
  </si>
  <si>
    <t>7A00</t>
  </si>
  <si>
    <t>Západomoravská vysoká škola Třebíč, o.p.s.</t>
  </si>
  <si>
    <t>7B00</t>
  </si>
  <si>
    <t>Soukromá vysoká škola ekonomická Znojmo, s.r.o.</t>
  </si>
  <si>
    <t>7C00</t>
  </si>
  <si>
    <t>Moravská vysoká škola Olomouc, o.p.s.</t>
  </si>
  <si>
    <t>7D00</t>
  </si>
  <si>
    <t>CEVRO Institut, o.p.s.</t>
  </si>
  <si>
    <t>7E00 </t>
  </si>
  <si>
    <t>Unicorn College s.r.o.</t>
  </si>
  <si>
    <t>7G00</t>
  </si>
  <si>
    <t>Vysoká škola obchodní a hotelová s.r.o.</t>
  </si>
  <si>
    <t>7J00</t>
  </si>
  <si>
    <t>Vysoká škola sociálně správní, Institut celoživotního vzdělávání Havířov, o.p.s.</t>
  </si>
  <si>
    <t>7L00</t>
  </si>
  <si>
    <t>AKCENT College s.r.o.</t>
  </si>
  <si>
    <t>7N00</t>
  </si>
  <si>
    <t>Vysoká škola aplikované psychologie, s.r.o.</t>
  </si>
  <si>
    <t>meziroční změna</t>
  </si>
  <si>
    <t>Ukazatel A, výpočet na rok 2013</t>
  </si>
  <si>
    <t>Poznámka:</t>
  </si>
  <si>
    <t>Data podle SIMS ke dni 31.10.2012</t>
  </si>
  <si>
    <t>Kategorie:</t>
  </si>
  <si>
    <t>B1</t>
  </si>
  <si>
    <t>bakalářská studia, první rok studia</t>
  </si>
  <si>
    <t>Počty přepočtených studentů magisterských studijních programů M5104 Stomatologie a M5111 Zubní lékařství, P5155 Stomatologie a zubní lékařství, které nejsou limitovány, jsou uvedeny v samostatné tabulce dole.</t>
  </si>
  <si>
    <t>M1</t>
  </si>
  <si>
    <t>magisterská studia pěti až šestiletá první, rok studia</t>
  </si>
  <si>
    <t>N1</t>
  </si>
  <si>
    <t>magisterská studia navazující na bakalářská studia, první rok studia</t>
  </si>
  <si>
    <t>P1</t>
  </si>
  <si>
    <t>doktorská studia, první rok studia</t>
  </si>
  <si>
    <t>SP2+</t>
  </si>
  <si>
    <t>všechny typy studia, druhé a další roky studia</t>
  </si>
  <si>
    <t>Kategorie</t>
  </si>
  <si>
    <t>Skutečný počet přepočt. studentů k 31. 10. 2012 bez stud. programů 5104, 5111 a 5155</t>
  </si>
  <si>
    <t>Výsledek projednání - akceptovaný/ dohodnutý počet pro rok 2013 bez stud. programů 5104, 5111 a 5155</t>
  </si>
  <si>
    <t xml:space="preserve">Započtený počet přepočtených studentů bez SP 5104, 5111 a 5155 </t>
  </si>
  <si>
    <t>Stud. programy 5104, 5111 a 5155 (viz tab. dole)</t>
  </si>
  <si>
    <t>Započtený přepočt. počet studentů vč. 5104, 5111 a 5155</t>
  </si>
  <si>
    <t>Průměrný koef. ekon. náročnosti ke sl. 5</t>
  </si>
  <si>
    <t>Počet normativních studentů ke sl. 5</t>
  </si>
  <si>
    <t>Počet normativních studentů programů 5104, 5111 a 5155 (viz tab. dole)</t>
  </si>
  <si>
    <t>Počet normativních studentů celkem</t>
  </si>
  <si>
    <t>Částka na jednu VVŠ v tis. Kč</t>
  </si>
  <si>
    <t>Počet nevyužitých míst do limitu</t>
  </si>
  <si>
    <t>Počet nadlimitních přepočt. studentů</t>
  </si>
  <si>
    <t>UK Praha</t>
  </si>
  <si>
    <t>SUMA: B1</t>
  </si>
  <si>
    <t>SUMA: M1</t>
  </si>
  <si>
    <t>SUMA: N1</t>
  </si>
  <si>
    <t>SUMA: P1</t>
  </si>
  <si>
    <t>SUMA: SP2+</t>
  </si>
  <si>
    <t>JU České Budějovice</t>
  </si>
  <si>
    <t>JU Č.B.</t>
  </si>
  <si>
    <t>UJEP Ústí nad Labem</t>
  </si>
  <si>
    <t>UJEP Ústí n.L.</t>
  </si>
  <si>
    <t>MU Brno</t>
  </si>
  <si>
    <t>UP Olomouc</t>
  </si>
  <si>
    <t>VFU Brno</t>
  </si>
  <si>
    <t>OU Ostrava</t>
  </si>
  <si>
    <t>Univerzita Hr. Král.</t>
  </si>
  <si>
    <t>SU Opava</t>
  </si>
  <si>
    <t>ČVUT Praha</t>
  </si>
  <si>
    <t>VŠCHT Praha</t>
  </si>
  <si>
    <t>ZČU Plzeň</t>
  </si>
  <si>
    <t>TU Liberec</t>
  </si>
  <si>
    <t>UPa Pardubice</t>
  </si>
  <si>
    <t>VUT Brno</t>
  </si>
  <si>
    <t>VŠB-TU Ostrava</t>
  </si>
  <si>
    <t>UTB Zlín</t>
  </si>
  <si>
    <t>VŠE Praha</t>
  </si>
  <si>
    <t>ČZU Praha</t>
  </si>
  <si>
    <t>Mendelu Brno</t>
  </si>
  <si>
    <t>VŠP Jihlava</t>
  </si>
  <si>
    <t>VŠ polytech. Jihlava</t>
  </si>
  <si>
    <t>VŠTE Č. B.</t>
  </si>
  <si>
    <t>VŠTE Č. Budějovice</t>
  </si>
  <si>
    <t>Souhrn</t>
  </si>
  <si>
    <t>Základní normativ (Kč)</t>
  </si>
  <si>
    <t>A  (tis. Kč) =</t>
  </si>
  <si>
    <t>Celková výpočtová částka před zaokrouhlením (tis. Kč)</t>
  </si>
  <si>
    <t>Umělecké VVŠ</t>
  </si>
  <si>
    <t xml:space="preserve">Komplexní limit pro umělecké VVŠ na rok 2013 je 2740 přepočtených studentů. Skutečnost je 2641 přepočtených studentů, což je 96,4 %. </t>
  </si>
  <si>
    <t>Každá z těchto VVŠ je přepočteným počtem studentů uvnitř intervalu +- 10% limitu, proto se každé z nich započte limit.</t>
  </si>
  <si>
    <t>AMU Praha</t>
  </si>
  <si>
    <t>AVU Praha</t>
  </si>
  <si>
    <t>VŠUP v Praze</t>
  </si>
  <si>
    <t>JAMU Brno</t>
  </si>
  <si>
    <t>Celková výpočtová částka před zaokrouhlením</t>
  </si>
  <si>
    <t>Všechny VVŠ</t>
  </si>
  <si>
    <t>Souhrnné údaje</t>
  </si>
  <si>
    <t>Přepočtený počet studentů uměleckých VVŠ</t>
  </si>
  <si>
    <t>Počet přepočtených studentů zahrnutých do výpočtu</t>
  </si>
  <si>
    <t>Meziroční nárůst přepočtených studentů zahrnutých do výpočtu</t>
  </si>
  <si>
    <t>Počet normativních studentů</t>
  </si>
  <si>
    <t>Průměrný koeficient ekonomické náročnosti (vč. uměleckých VVŠ)</t>
  </si>
  <si>
    <t>Ukazatel A+K</t>
  </si>
  <si>
    <t>Průměrný normativ (ukaz. A+K ku počtu normativních studentů)</t>
  </si>
  <si>
    <t>Studijní programy 5104 Stomatologie, 5111 Zubní lékařství a 5155 Stomatologie a zubní lékařství</t>
  </si>
  <si>
    <t>Kód fakulty</t>
  </si>
  <si>
    <t>Název fakulty</t>
  </si>
  <si>
    <t>Stud. program</t>
  </si>
  <si>
    <t>Koeficient</t>
  </si>
  <si>
    <t>Nově přijatí</t>
  </si>
  <si>
    <t>Zvláštní</t>
  </si>
  <si>
    <t>Ostatní</t>
  </si>
  <si>
    <t>Půlroční</t>
  </si>
  <si>
    <t>Přepočtený počet studentů</t>
  </si>
  <si>
    <t>Normativní počet studentů</t>
  </si>
  <si>
    <t>UK v Praze</t>
  </si>
  <si>
    <t>UP v Olomouci</t>
  </si>
  <si>
    <t>Ukazatel A</t>
  </si>
  <si>
    <t>Ukazatel K</t>
  </si>
  <si>
    <t>Přepočtený počet - zubařů (stud.progr.M5104, M5111 a 5155)</t>
  </si>
  <si>
    <t>průměrný KEN</t>
  </si>
  <si>
    <t>Celkem počet norm. stud.</t>
  </si>
  <si>
    <t>pouze orientační</t>
  </si>
  <si>
    <t>Přepočtený počet studentů (včetně zubařů)</t>
  </si>
  <si>
    <t>Základní normativ (ukaz. A ku počtu normativních studentů)</t>
  </si>
  <si>
    <t>Ukazatel K, výpočet na rok 2013</t>
  </si>
  <si>
    <t>Vědecký a umělecký výkon vysoké školy</t>
  </si>
  <si>
    <t>Kvalita studijních programů a uplatnění absolventů</t>
  </si>
  <si>
    <t>Mezinárodní mobilita</t>
  </si>
  <si>
    <t>Podíl na K 
(v%)</t>
  </si>
  <si>
    <t>Podíl na K 
(v tis. Kč)</t>
  </si>
  <si>
    <r>
      <t xml:space="preserve">Započítané body RIV (absolutně) + </t>
    </r>
    <r>
      <rPr>
        <b/>
        <u val="single"/>
        <sz val="8"/>
        <rFont val="Arial"/>
        <family val="2"/>
      </rPr>
      <t>bez komp.</t>
    </r>
    <r>
      <rPr>
        <b/>
        <sz val="8"/>
        <rFont val="Arial"/>
        <family val="2"/>
      </rPr>
      <t xml:space="preserve"> pro uměl. VŠ</t>
    </r>
  </si>
  <si>
    <t>Započítané body RUV</t>
  </si>
  <si>
    <t>Účelové neinvestiční prostředky na výzkum</t>
  </si>
  <si>
    <t>Příjmy z vlastní činnosti VVŠ</t>
  </si>
  <si>
    <t>Vážený počet profesorů a docentů</t>
  </si>
  <si>
    <t>Počet profesorů a docentů</t>
  </si>
  <si>
    <r>
      <t xml:space="preserve">Zaměstnanost absolventů (stand), </t>
    </r>
    <r>
      <rPr>
        <b/>
        <u val="single"/>
        <sz val="8"/>
        <rFont val="Arial"/>
        <family val="2"/>
      </rPr>
      <t>včetně</t>
    </r>
    <r>
      <rPr>
        <b/>
        <sz val="8"/>
        <rFont val="Arial"/>
        <family val="2"/>
      </rPr>
      <t xml:space="preserve"> KEN</t>
    </r>
  </si>
  <si>
    <t>Zaměstnanost absolventů (stand.)</t>
  </si>
  <si>
    <t>Cizinci v příslušném typu studijního programu</t>
  </si>
  <si>
    <t>„Samoplátci“ v příslušném typu studijního programu</t>
  </si>
  <si>
    <t>Vyslaní v rámci mobilitních programů 
(včetně ECTS a DS)</t>
  </si>
  <si>
    <t>Přijatí v rámci mobilitních programů 
(včetně ECTS a DS)</t>
  </si>
  <si>
    <t>Profesoři</t>
  </si>
  <si>
    <t>Docenti</t>
  </si>
  <si>
    <t>Index</t>
  </si>
  <si>
    <t>Bakalářské</t>
  </si>
  <si>
    <t>Magisterské</t>
  </si>
  <si>
    <t>Doktorandi</t>
  </si>
  <si>
    <t>Bakalářském</t>
  </si>
  <si>
    <t>Magisterském</t>
  </si>
  <si>
    <t>Doktorském</t>
  </si>
  <si>
    <t>Váhy parametrů</t>
  </si>
  <si>
    <t>VVŠ celkem</t>
  </si>
  <si>
    <t xml:space="preserve">UK </t>
  </si>
  <si>
    <t xml:space="preserve">UJEP </t>
  </si>
  <si>
    <t>UP</t>
  </si>
  <si>
    <t>ZČU</t>
  </si>
  <si>
    <t>UPa</t>
  </si>
  <si>
    <t>VUT v Brně</t>
  </si>
  <si>
    <t>VŠB-TUO</t>
  </si>
  <si>
    <t>UTB ve Zlíně</t>
  </si>
  <si>
    <t>ČZU v Praze</t>
  </si>
  <si>
    <t>AMU v Praze</t>
  </si>
  <si>
    <t>AVU v Praze</t>
  </si>
  <si>
    <t>2011</t>
  </si>
  <si>
    <t>2010</t>
  </si>
  <si>
    <t>2009</t>
  </si>
  <si>
    <t>VVŠ</t>
  </si>
  <si>
    <t>Ukaz. A</t>
  </si>
  <si>
    <t>% podíl v rámci ukazatele A</t>
  </si>
  <si>
    <t>Ukaz. K</t>
  </si>
  <si>
    <t>% podíl v rámci ukazatele K</t>
  </si>
  <si>
    <t>% podíl z celku</t>
  </si>
  <si>
    <t>Ukazatel A - váha 77,5 %</t>
  </si>
  <si>
    <t>Ukazatel K - 22,5 %</t>
  </si>
  <si>
    <t>vysoká škola</t>
  </si>
  <si>
    <t>orientační limit</t>
  </si>
  <si>
    <t>neinvestiční</t>
  </si>
  <si>
    <t>investiční</t>
  </si>
  <si>
    <t>celkem</t>
  </si>
  <si>
    <t>Kapitálová dotace (tis.Kč)</t>
  </si>
  <si>
    <t>Běžná dotace (tis.Kč)</t>
  </si>
  <si>
    <t>Dotace celkem (tis. Kč)</t>
  </si>
  <si>
    <t xml:space="preserve">České vysoké učení technické v Praze </t>
  </si>
  <si>
    <t xml:space="preserve">Česká zemědělská univerzita v Praze </t>
  </si>
  <si>
    <t>Ostravská univerzita Ostrava</t>
  </si>
  <si>
    <t>Technická univerzita Liberec</t>
  </si>
  <si>
    <t>Univerzita Karlova v Praze *)</t>
  </si>
  <si>
    <t>1. kolo výběrového řízení celkem</t>
  </si>
  <si>
    <t>pro 2. kolo výběrového řízení (námitkové řízení)</t>
  </si>
  <si>
    <t>ukazatel G v rozpočtu roku 2013</t>
  </si>
  <si>
    <t>Název VVŠ</t>
  </si>
  <si>
    <t>Upravený nárok</t>
  </si>
  <si>
    <t>Počet účastníků U3V</t>
  </si>
  <si>
    <t>11000</t>
  </si>
  <si>
    <t>12000</t>
  </si>
  <si>
    <t>13000</t>
  </si>
  <si>
    <t>Univerzita J. E. Purkyně v Ústí nad Labem</t>
  </si>
  <si>
    <t>14000</t>
  </si>
  <si>
    <t>15000</t>
  </si>
  <si>
    <t>16000</t>
  </si>
  <si>
    <t>17000</t>
  </si>
  <si>
    <t>18000</t>
  </si>
  <si>
    <t>19000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</si>
  <si>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</si>
  <si>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</si>
  <si>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</si>
  <si>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</si>
  <si>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</si>
  <si>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</si>
  <si>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</si>
  <si>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</si>
  <si>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31000</t>
  </si>
  <si>
    <t>41000</t>
  </si>
  <si>
    <t>43000</t>
  </si>
  <si>
    <t>51000</t>
  </si>
  <si>
    <t xml:space="preserve"> ---</t>
  </si>
  <si>
    <t>52000</t>
  </si>
  <si>
    <t>53000</t>
  </si>
  <si>
    <t>54000</t>
  </si>
  <si>
    <t>Janáčkova akademie múz umění v Brně</t>
  </si>
  <si>
    <t>55000</t>
  </si>
  <si>
    <t>56000</t>
  </si>
  <si>
    <t>Ukazatel F - podpora financování zvýšených nákladů souvisejících se studiem studentů se specifickými potřebami</t>
  </si>
  <si>
    <t>Celková částka vyčleněná na studium SSP (tis. Kč)</t>
  </si>
  <si>
    <t>Rozsah vykrytí kalkulovaných zvýšených nákladů (%)</t>
  </si>
  <si>
    <t>Příspěvek na studium SSP    v r. 2013 
(tis. Kč)</t>
  </si>
  <si>
    <t>Počet studentů    se SP</t>
  </si>
  <si>
    <t>Kalkulované zvýšené náklady (Kč)</t>
  </si>
  <si>
    <t>---</t>
  </si>
  <si>
    <t>Vysoká škola chem.-technologická v Praze</t>
  </si>
  <si>
    <t>Vysoká škola báňská - TU Ostrava</t>
  </si>
  <si>
    <t>Janáčkova akademie múz. umění v Brně</t>
  </si>
  <si>
    <t>Vysoká škola techn. a ekonomická v Č. B.</t>
  </si>
  <si>
    <t>Ukazatel F - podpora financování nákladů souvisejících se vzděláváním seniorů prostřednictvím tzv. Univerzit třetího věku</t>
  </si>
  <si>
    <t>Celková částka podle rozpisu rozpočtu (tis. Kč)</t>
  </si>
  <si>
    <t>Jednotková částka na jednu studentohodinu (Kč)</t>
  </si>
  <si>
    <t>Příspěvek na U3V    v r. 2013 (tis. Kč)</t>
  </si>
  <si>
    <t>Počet studento- hodin</t>
  </si>
  <si>
    <t>Bilance zdrojů pro rozdělení příspěvku a dotací vysokým školám v roce 2013</t>
  </si>
  <si>
    <r>
      <rPr>
        <b/>
        <sz val="14"/>
        <color indexed="8"/>
        <rFont val="Arial"/>
        <family val="2"/>
      </rPr>
      <t>Rok 2013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(návrh rozpočtu 2013 - institucionální část)</t>
    </r>
  </si>
  <si>
    <t>Ukazatel G: Fond rozvoje vysokých škol v roce 2013</t>
  </si>
  <si>
    <t>Veřejná vysoká škola</t>
  </si>
  <si>
    <t>Umělecké VVŠ jsou uvedeny v samostatné tabulce. Jejich výsledky a výsledky ostatních VVŠ jsou sečteny v tabulce "Všechny VVŠ".</t>
  </si>
  <si>
    <t>tis. Kč pro 
1. čtvrtletí 2013</t>
  </si>
  <si>
    <t>Ukazatel I: rozvojové programy, Institucionální rozvojové plány v roce 2013</t>
  </si>
  <si>
    <t>Ukazatel J - dotace na ubytování a stravování studentů v roce 2013</t>
  </si>
  <si>
    <t>Ukazatel U - ubytovací stipendium v roce 2013</t>
  </si>
  <si>
    <t xml:space="preserve">Mendelova zemědělská a lesnická univerzita v Brně </t>
  </si>
  <si>
    <t xml:space="preserve">Institucionální část rozpisu rozpočtu v roce 2013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</si>
</sst>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000"/>
    <numFmt numFmtId="168" formatCode="#,##0.0"/>
    <numFmt numFmtId="169" formatCode="#,##0.00000"/>
    <numFmt numFmtId="170" formatCode="#,##0_ ;[Red]\-#,##0\ ;\–\ "/>
    <numFmt numFmtId="171" formatCode="#,##0.0_ ;[Red]\-#,##0.0\ ;\–\ "/>
    <numFmt numFmtId="172" formatCode="0.000"/>
    <numFmt numFmtId="173" formatCode="0.000%"/>
    <numFmt numFmtId="174" formatCode="#,##0.00_ ;[Red]\-#,##0.00\ 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E"/>
      <family val="0"/>
    </font>
    <font>
      <b/>
      <sz val="2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name val="Arial"/>
      <family val="2"/>
    </font>
    <font>
      <i/>
      <sz val="11"/>
      <name val="Arial"/>
      <family val="2"/>
    </font>
    <font>
      <i/>
      <sz val="11"/>
      <color indexed="23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 val="single"/>
      <sz val="18"/>
      <name val="Times New Roman"/>
      <family val="1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2"/>
      <color indexed="6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i/>
      <sz val="8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1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23"/>
      <name val="Arial"/>
      <family val="2"/>
    </font>
    <font>
      <i/>
      <sz val="12"/>
      <color indexed="23"/>
      <name val="Arial"/>
      <family val="2"/>
    </font>
    <font>
      <b/>
      <i/>
      <sz val="12"/>
      <color indexed="23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 CE"/>
      <family val="0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808080"/>
      <name val="Arial"/>
      <family val="2"/>
    </font>
    <font>
      <i/>
      <sz val="11"/>
      <color rgb="FF808080"/>
      <name val="Arial"/>
      <family val="2"/>
    </font>
    <font>
      <i/>
      <sz val="12"/>
      <color rgb="FF808080"/>
      <name val="Arial"/>
      <family val="2"/>
    </font>
    <font>
      <b/>
      <i/>
      <sz val="12"/>
      <color rgb="FF80808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 CE"/>
      <family val="0"/>
    </font>
    <font>
      <b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0" tint="-0.4999699890613556"/>
      <name val="Arial"/>
      <family val="2"/>
    </font>
    <font>
      <b/>
      <sz val="15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/>
      <right/>
      <top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medium"/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medium"/>
      <bottom style="thin"/>
    </border>
    <border>
      <left style="medium">
        <color theme="9" tint="-0.4999699890613556"/>
      </left>
      <right style="medium">
        <color theme="9" tint="-0.4999699890613556"/>
      </right>
      <top style="thin"/>
      <bottom style="thin"/>
    </border>
    <border>
      <left style="medium">
        <color theme="9" tint="-0.4999699890613556"/>
      </left>
      <right style="medium">
        <color theme="9" tint="-0.4999699890613556"/>
      </right>
      <top style="thin"/>
      <bottom/>
    </border>
    <border>
      <left style="medium">
        <color theme="9" tint="-0.4999699890613556"/>
      </left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 style="medium">
        <color theme="9" tint="-0.4999699890613556"/>
      </right>
      <top/>
      <bottom style="thin"/>
    </border>
    <border>
      <left style="medium">
        <color theme="9" tint="-0.4999699890613556"/>
      </left>
      <right style="medium">
        <color theme="9" tint="-0.4999699890613556"/>
      </right>
      <top style="thin"/>
      <bottom style="medium">
        <color theme="9" tint="-0.4999699890613556"/>
      </bottom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>
        <color indexed="10"/>
      </right>
      <top style="double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thin"/>
      <top style="double"/>
      <bottom style="thin"/>
    </border>
    <border>
      <left/>
      <right style="double">
        <color indexed="10"/>
      </right>
      <top style="double"/>
      <bottom style="thin"/>
    </border>
    <border>
      <left style="double">
        <color indexed="10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>
        <color indexed="10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medium"/>
      <bottom style="medium"/>
    </border>
    <border>
      <left style="double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>
        <color rgb="FFFF0000"/>
      </left>
      <right style="double">
        <color rgb="FFFF0000"/>
      </right>
      <top style="thin"/>
      <bottom style="thin"/>
    </border>
    <border>
      <left style="double">
        <color rgb="FFFF0000"/>
      </left>
      <right style="double">
        <color rgb="FFFF0000"/>
      </right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>
        <color rgb="FFFF0000"/>
      </left>
      <right style="double">
        <color rgb="FFFF0000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>
        <color rgb="FFFF0000"/>
      </left>
      <right style="thin"/>
      <top style="medium"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n"/>
    </border>
    <border>
      <left style="double">
        <color rgb="FFFF0000"/>
      </left>
      <right style="double">
        <color rgb="FFFF0000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>
        <color rgb="FFFF0000"/>
      </left>
      <right style="double">
        <color rgb="FFFF0000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>
        <color theme="9" tint="-0.4999699890613556"/>
      </left>
      <right style="medium">
        <color theme="9" tint="-0.4999699890613556"/>
      </right>
      <top style="medium"/>
      <bottom/>
    </border>
    <border>
      <left style="medium">
        <color theme="9" tint="-0.4999699890613556"/>
      </left>
      <right style="medium">
        <color theme="9" tint="-0.4999699890613556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hair"/>
      <right style="thin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thin"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medium"/>
    </border>
    <border>
      <left style="medium"/>
      <right style="medium"/>
      <top>
        <color indexed="63"/>
      </top>
      <bottom style="double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1127">
    <xf numFmtId="0" fontId="0" fillId="0" borderId="0" xfId="0" applyFont="1" applyAlignment="1">
      <alignment/>
    </xf>
    <xf numFmtId="0" fontId="4" fillId="0" borderId="0" xfId="80" applyFont="1" applyFill="1" applyAlignment="1">
      <alignment vertical="center"/>
      <protection/>
    </xf>
    <xf numFmtId="0" fontId="5" fillId="33" borderId="0" xfId="80" applyFont="1" applyFill="1" applyAlignment="1">
      <alignment horizontal="left" vertical="center"/>
      <protection/>
    </xf>
    <xf numFmtId="0" fontId="5" fillId="33" borderId="0" xfId="80" applyFont="1" applyFill="1" applyAlignment="1">
      <alignment vertical="center"/>
      <protection/>
    </xf>
    <xf numFmtId="0" fontId="6" fillId="0" borderId="0" xfId="80" applyFont="1" applyFill="1" applyAlignment="1">
      <alignment vertical="center"/>
      <protection/>
    </xf>
    <xf numFmtId="0" fontId="6" fillId="33" borderId="0" xfId="80" applyFont="1" applyFill="1" applyAlignment="1">
      <alignment vertical="center"/>
      <protection/>
    </xf>
    <xf numFmtId="0" fontId="6" fillId="33" borderId="0" xfId="80" applyFont="1" applyFill="1" applyBorder="1" applyAlignment="1">
      <alignment vertical="center"/>
      <protection/>
    </xf>
    <xf numFmtId="164" fontId="6" fillId="33" borderId="0" xfId="80" applyNumberFormat="1" applyFont="1" applyFill="1" applyBorder="1" applyAlignment="1">
      <alignment horizontal="right" vertical="center"/>
      <protection/>
    </xf>
    <xf numFmtId="164" fontId="6" fillId="33" borderId="0" xfId="80" applyNumberFormat="1" applyFont="1" applyFill="1" applyAlignment="1">
      <alignment vertical="center"/>
      <protection/>
    </xf>
    <xf numFmtId="0" fontId="7" fillId="33" borderId="10" xfId="80" applyFont="1" applyFill="1" applyBorder="1" applyAlignment="1">
      <alignment horizontal="center" vertical="center"/>
      <protection/>
    </xf>
    <xf numFmtId="0" fontId="7" fillId="33" borderId="10" xfId="80" applyFont="1" applyFill="1" applyBorder="1" applyAlignment="1">
      <alignment horizontal="center" vertical="center" wrapText="1"/>
      <protection/>
    </xf>
    <xf numFmtId="0" fontId="7" fillId="33" borderId="11" xfId="80" applyFont="1" applyFill="1" applyBorder="1" applyAlignment="1">
      <alignment horizontal="center" vertical="center" wrapText="1"/>
      <protection/>
    </xf>
    <xf numFmtId="0" fontId="7" fillId="33" borderId="12" xfId="80" applyFont="1" applyFill="1" applyBorder="1" applyAlignment="1">
      <alignment horizontal="center" vertical="center" wrapText="1"/>
      <protection/>
    </xf>
    <xf numFmtId="0" fontId="7" fillId="0" borderId="0" xfId="80" applyFont="1" applyFill="1" applyAlignment="1">
      <alignment vertical="center"/>
      <protection/>
    </xf>
    <xf numFmtId="165" fontId="5" fillId="33" borderId="13" xfId="79" applyNumberFormat="1" applyFont="1" applyFill="1" applyBorder="1" applyAlignment="1">
      <alignment horizontal="center" vertical="center"/>
      <protection/>
    </xf>
    <xf numFmtId="3" fontId="5" fillId="33" borderId="13" xfId="80" applyNumberFormat="1" applyFont="1" applyFill="1" applyBorder="1" applyAlignment="1">
      <alignment horizontal="center" vertical="center" wrapText="1"/>
      <protection/>
    </xf>
    <xf numFmtId="3" fontId="5" fillId="33" borderId="14" xfId="80" applyNumberFormat="1" applyFont="1" applyFill="1" applyBorder="1" applyAlignment="1">
      <alignment horizontal="center" vertical="center" wrapText="1"/>
      <protection/>
    </xf>
    <xf numFmtId="165" fontId="5" fillId="33" borderId="15" xfId="79" applyNumberFormat="1" applyFont="1" applyFill="1" applyBorder="1" applyAlignment="1">
      <alignment horizontal="center" vertical="center"/>
      <protection/>
    </xf>
    <xf numFmtId="3" fontId="5" fillId="33" borderId="15" xfId="80" applyNumberFormat="1" applyFont="1" applyFill="1" applyBorder="1" applyAlignment="1">
      <alignment horizontal="center" vertical="center" wrapText="1"/>
      <protection/>
    </xf>
    <xf numFmtId="3" fontId="5" fillId="33" borderId="16" xfId="80" applyNumberFormat="1" applyFont="1" applyFill="1" applyBorder="1" applyAlignment="1">
      <alignment horizontal="center" vertical="center" wrapText="1"/>
      <protection/>
    </xf>
    <xf numFmtId="6" fontId="5" fillId="33" borderId="17" xfId="80" applyNumberFormat="1" applyFont="1" applyFill="1" applyBorder="1" applyAlignment="1">
      <alignment horizontal="center" vertical="center"/>
      <protection/>
    </xf>
    <xf numFmtId="6" fontId="5" fillId="33" borderId="18" xfId="47" applyNumberFormat="1" applyFont="1" applyFill="1" applyBorder="1" applyAlignment="1">
      <alignment horizontal="center" vertical="center"/>
      <protection/>
    </xf>
    <xf numFmtId="3" fontId="5" fillId="33" borderId="18" xfId="80" applyNumberFormat="1" applyFont="1" applyFill="1" applyBorder="1" applyAlignment="1">
      <alignment horizontal="center" vertical="center" wrapText="1"/>
      <protection/>
    </xf>
    <xf numFmtId="3" fontId="5" fillId="33" borderId="19" xfId="80" applyNumberFormat="1" applyFont="1" applyFill="1" applyBorder="1" applyAlignment="1">
      <alignment horizontal="center" vertical="center" wrapText="1"/>
      <protection/>
    </xf>
    <xf numFmtId="8" fontId="5" fillId="33" borderId="18" xfId="80" applyNumberFormat="1" applyFont="1" applyFill="1" applyBorder="1" applyAlignment="1">
      <alignment horizontal="center" vertical="center"/>
      <protection/>
    </xf>
    <xf numFmtId="0" fontId="5" fillId="33" borderId="0" xfId="80" applyFont="1" applyFill="1" applyBorder="1" applyAlignment="1">
      <alignment horizontal="left" vertical="center" wrapText="1"/>
      <protection/>
    </xf>
    <xf numFmtId="0" fontId="7" fillId="0" borderId="0" xfId="80" applyFont="1" applyFill="1" applyAlignment="1">
      <alignment horizontal="center" vertical="center" wrapText="1"/>
      <protection/>
    </xf>
    <xf numFmtId="1" fontId="5" fillId="0" borderId="20" xfId="80" applyNumberFormat="1" applyFont="1" applyFill="1" applyBorder="1" applyAlignment="1">
      <alignment horizontal="center" vertical="center"/>
      <protection/>
    </xf>
    <xf numFmtId="1" fontId="5" fillId="0" borderId="10" xfId="80" applyNumberFormat="1" applyFont="1" applyFill="1" applyBorder="1" applyAlignment="1">
      <alignment horizontal="center" vertical="center"/>
      <protection/>
    </xf>
    <xf numFmtId="1" fontId="5" fillId="0" borderId="21" xfId="80" applyNumberFormat="1" applyFont="1" applyFill="1" applyBorder="1" applyAlignment="1">
      <alignment horizontal="center" vertical="center"/>
      <protection/>
    </xf>
    <xf numFmtId="1" fontId="102" fillId="0" borderId="21" xfId="80" applyNumberFormat="1" applyFont="1" applyFill="1" applyBorder="1" applyAlignment="1">
      <alignment horizontal="center" vertical="center"/>
      <protection/>
    </xf>
    <xf numFmtId="1" fontId="102" fillId="0" borderId="22" xfId="80" applyNumberFormat="1" applyFont="1" applyFill="1" applyBorder="1" applyAlignment="1">
      <alignment horizontal="center" vertical="center"/>
      <protection/>
    </xf>
    <xf numFmtId="1" fontId="7" fillId="0" borderId="0" xfId="80" applyNumberFormat="1" applyFont="1" applyFill="1" applyAlignment="1">
      <alignment horizontal="center" vertical="center"/>
      <protection/>
    </xf>
    <xf numFmtId="0" fontId="10" fillId="33" borderId="23" xfId="80" applyFont="1" applyFill="1" applyBorder="1" applyAlignment="1">
      <alignment vertical="center"/>
      <protection/>
    </xf>
    <xf numFmtId="0" fontId="10" fillId="33" borderId="0" xfId="80" applyFont="1" applyFill="1" applyBorder="1" applyAlignment="1">
      <alignment vertical="center"/>
      <protection/>
    </xf>
    <xf numFmtId="0" fontId="12" fillId="33" borderId="0" xfId="80" applyFont="1" applyFill="1" applyBorder="1" applyAlignment="1">
      <alignment vertical="center"/>
      <protection/>
    </xf>
    <xf numFmtId="3" fontId="10" fillId="33" borderId="0" xfId="80" applyNumberFormat="1" applyFont="1" applyFill="1" applyBorder="1" applyAlignment="1">
      <alignment horizontal="center" vertical="center"/>
      <protection/>
    </xf>
    <xf numFmtId="10" fontId="103" fillId="33" borderId="0" xfId="80" applyNumberFormat="1" applyFont="1" applyFill="1" applyBorder="1" applyAlignment="1">
      <alignment horizontal="center" vertical="center"/>
      <protection/>
    </xf>
    <xf numFmtId="0" fontId="103" fillId="33" borderId="24" xfId="80" applyFont="1" applyFill="1" applyBorder="1" applyAlignment="1">
      <alignment vertical="center"/>
      <protection/>
    </xf>
    <xf numFmtId="0" fontId="13" fillId="33" borderId="0" xfId="80" applyFont="1" applyFill="1" applyBorder="1" applyAlignment="1">
      <alignment vertical="center"/>
      <protection/>
    </xf>
    <xf numFmtId="10" fontId="10" fillId="33" borderId="0" xfId="80" applyNumberFormat="1" applyFont="1" applyFill="1" applyBorder="1" applyAlignment="1">
      <alignment horizontal="center" vertical="center"/>
      <protection/>
    </xf>
    <xf numFmtId="0" fontId="10" fillId="33" borderId="25" xfId="80" applyFont="1" applyFill="1" applyBorder="1" applyAlignment="1">
      <alignment vertical="center"/>
      <protection/>
    </xf>
    <xf numFmtId="0" fontId="10" fillId="33" borderId="13" xfId="80" applyFont="1" applyFill="1" applyBorder="1" applyAlignment="1">
      <alignment vertical="center"/>
      <protection/>
    </xf>
    <xf numFmtId="3" fontId="6" fillId="33" borderId="12" xfId="80" applyNumberFormat="1" applyFont="1" applyFill="1" applyBorder="1" applyAlignment="1">
      <alignment vertical="center"/>
      <protection/>
    </xf>
    <xf numFmtId="164" fontId="103" fillId="33" borderId="12" xfId="80" applyNumberFormat="1" applyFont="1" applyFill="1" applyBorder="1" applyAlignment="1">
      <alignment vertical="center"/>
      <protection/>
    </xf>
    <xf numFmtId="164" fontId="103" fillId="33" borderId="26" xfId="80" applyNumberFormat="1" applyFont="1" applyFill="1" applyBorder="1" applyAlignment="1">
      <alignment vertical="center"/>
      <protection/>
    </xf>
    <xf numFmtId="0" fontId="10" fillId="33" borderId="27" xfId="80" applyFont="1" applyFill="1" applyBorder="1" applyAlignment="1">
      <alignment vertical="center"/>
      <protection/>
    </xf>
    <xf numFmtId="0" fontId="10" fillId="33" borderId="17" xfId="80" applyFont="1" applyFill="1" applyBorder="1" applyAlignment="1">
      <alignment vertical="center" wrapText="1"/>
      <protection/>
    </xf>
    <xf numFmtId="3" fontId="6" fillId="33" borderId="17" xfId="80" applyNumberFormat="1" applyFont="1" applyFill="1" applyBorder="1" applyAlignment="1">
      <alignment vertical="center"/>
      <protection/>
    </xf>
    <xf numFmtId="164" fontId="103" fillId="33" borderId="17" xfId="80" applyNumberFormat="1" applyFont="1" applyFill="1" applyBorder="1" applyAlignment="1">
      <alignment vertical="center"/>
      <protection/>
    </xf>
    <xf numFmtId="3" fontId="6" fillId="33" borderId="17" xfId="80" applyNumberFormat="1" applyFont="1" applyFill="1" applyBorder="1" applyAlignment="1">
      <alignment horizontal="center" vertical="center"/>
      <protection/>
    </xf>
    <xf numFmtId="164" fontId="103" fillId="33" borderId="17" xfId="80" applyNumberFormat="1" applyFont="1" applyFill="1" applyBorder="1" applyAlignment="1">
      <alignment horizontal="center" vertical="center"/>
      <protection/>
    </xf>
    <xf numFmtId="164" fontId="103" fillId="33" borderId="28" xfId="80" applyNumberFormat="1" applyFont="1" applyFill="1" applyBorder="1" applyAlignment="1">
      <alignment horizontal="center" vertical="center"/>
      <protection/>
    </xf>
    <xf numFmtId="0" fontId="10" fillId="33" borderId="29" xfId="80" applyFont="1" applyFill="1" applyBorder="1" applyAlignment="1">
      <alignment vertical="center"/>
      <protection/>
    </xf>
    <xf numFmtId="0" fontId="10" fillId="33" borderId="18" xfId="80" applyFont="1" applyFill="1" applyBorder="1" applyAlignment="1">
      <alignment vertical="center" wrapText="1"/>
      <protection/>
    </xf>
    <xf numFmtId="3" fontId="6" fillId="33" borderId="18" xfId="80" applyNumberFormat="1" applyFont="1" applyFill="1" applyBorder="1" applyAlignment="1">
      <alignment vertical="center"/>
      <protection/>
    </xf>
    <xf numFmtId="164" fontId="103" fillId="33" borderId="18" xfId="80" applyNumberFormat="1" applyFont="1" applyFill="1" applyBorder="1" applyAlignment="1">
      <alignment vertical="center"/>
      <protection/>
    </xf>
    <xf numFmtId="164" fontId="103" fillId="33" borderId="30" xfId="80" applyNumberFormat="1" applyFont="1" applyFill="1" applyBorder="1" applyAlignment="1">
      <alignment horizontal="right" vertical="center"/>
      <protection/>
    </xf>
    <xf numFmtId="0" fontId="14" fillId="33" borderId="31" xfId="80" applyFont="1" applyFill="1" applyBorder="1" applyAlignment="1">
      <alignment vertical="center"/>
      <protection/>
    </xf>
    <xf numFmtId="0" fontId="14" fillId="33" borderId="21" xfId="80" applyFont="1" applyFill="1" applyBorder="1" applyAlignment="1">
      <alignment vertical="center" wrapText="1"/>
      <protection/>
    </xf>
    <xf numFmtId="3" fontId="13" fillId="33" borderId="21" xfId="80" applyNumberFormat="1" applyFont="1" applyFill="1" applyBorder="1" applyAlignment="1">
      <alignment horizontal="right" vertical="center"/>
      <protection/>
    </xf>
    <xf numFmtId="164" fontId="104" fillId="33" borderId="21" xfId="80" applyNumberFormat="1" applyFont="1" applyFill="1" applyBorder="1" applyAlignment="1">
      <alignment horizontal="right" vertical="center"/>
      <protection/>
    </xf>
    <xf numFmtId="164" fontId="105" fillId="33" borderId="22" xfId="80" applyNumberFormat="1" applyFont="1" applyFill="1" applyBorder="1" applyAlignment="1">
      <alignment horizontal="right" vertical="center"/>
      <protection/>
    </xf>
    <xf numFmtId="0" fontId="15" fillId="0" borderId="0" xfId="80" applyFont="1" applyFill="1" applyAlignment="1">
      <alignment vertical="center"/>
      <protection/>
    </xf>
    <xf numFmtId="3" fontId="10" fillId="33" borderId="0" xfId="80" applyNumberFormat="1" applyFont="1" applyFill="1" applyBorder="1" applyAlignment="1">
      <alignment horizontal="right" vertical="center"/>
      <protection/>
    </xf>
    <xf numFmtId="0" fontId="103" fillId="33" borderId="0" xfId="47" applyFont="1" applyFill="1" applyBorder="1" applyAlignment="1">
      <alignment horizontal="right"/>
      <protection/>
    </xf>
    <xf numFmtId="166" fontId="103" fillId="33" borderId="24" xfId="80" applyNumberFormat="1" applyFont="1" applyFill="1" applyBorder="1" applyAlignment="1">
      <alignment horizontal="right" vertical="center"/>
      <protection/>
    </xf>
    <xf numFmtId="10" fontId="10" fillId="33" borderId="0" xfId="80" applyNumberFormat="1" applyFont="1" applyFill="1" applyBorder="1" applyAlignment="1">
      <alignment horizontal="right" vertical="center"/>
      <protection/>
    </xf>
    <xf numFmtId="164" fontId="103" fillId="33" borderId="0" xfId="80" applyNumberFormat="1" applyFont="1" applyFill="1" applyBorder="1" applyAlignment="1">
      <alignment horizontal="right" vertical="center"/>
      <protection/>
    </xf>
    <xf numFmtId="164" fontId="103" fillId="33" borderId="24" xfId="80" applyNumberFormat="1" applyFont="1" applyFill="1" applyBorder="1" applyAlignment="1">
      <alignment horizontal="right" vertical="center"/>
      <protection/>
    </xf>
    <xf numFmtId="3" fontId="6" fillId="33" borderId="13" xfId="80" applyNumberFormat="1" applyFont="1" applyFill="1" applyBorder="1" applyAlignment="1">
      <alignment horizontal="right" vertical="center"/>
      <protection/>
    </xf>
    <xf numFmtId="164" fontId="103" fillId="33" borderId="13" xfId="80" applyNumberFormat="1" applyFont="1" applyFill="1" applyBorder="1" applyAlignment="1">
      <alignment horizontal="right" vertical="center"/>
      <protection/>
    </xf>
    <xf numFmtId="164" fontId="103" fillId="33" borderId="32" xfId="80" applyNumberFormat="1" applyFont="1" applyFill="1" applyBorder="1" applyAlignment="1">
      <alignment horizontal="right" vertical="center"/>
      <protection/>
    </xf>
    <xf numFmtId="0" fontId="10" fillId="33" borderId="17" xfId="80" applyFont="1" applyFill="1" applyBorder="1" applyAlignment="1">
      <alignment vertical="center"/>
      <protection/>
    </xf>
    <xf numFmtId="3" fontId="6" fillId="33" borderId="17" xfId="80" applyNumberFormat="1" applyFont="1" applyFill="1" applyBorder="1" applyAlignment="1">
      <alignment horizontal="right" vertical="center"/>
      <protection/>
    </xf>
    <xf numFmtId="164" fontId="103" fillId="33" borderId="17" xfId="80" applyNumberFormat="1" applyFont="1" applyFill="1" applyBorder="1" applyAlignment="1">
      <alignment horizontal="right" vertical="center"/>
      <protection/>
    </xf>
    <xf numFmtId="164" fontId="103" fillId="33" borderId="33" xfId="80" applyNumberFormat="1" applyFont="1" applyFill="1" applyBorder="1" applyAlignment="1">
      <alignment horizontal="right" vertical="center"/>
      <protection/>
    </xf>
    <xf numFmtId="0" fontId="10" fillId="33" borderId="18" xfId="80" applyFont="1" applyFill="1" applyBorder="1" applyAlignment="1">
      <alignment vertical="center"/>
      <protection/>
    </xf>
    <xf numFmtId="3" fontId="6" fillId="33" borderId="18" xfId="80" applyNumberFormat="1" applyFont="1" applyFill="1" applyBorder="1" applyAlignment="1">
      <alignment horizontal="right" vertical="center"/>
      <protection/>
    </xf>
    <xf numFmtId="164" fontId="103" fillId="33" borderId="18" xfId="80" applyNumberFormat="1" applyFont="1" applyFill="1" applyBorder="1" applyAlignment="1">
      <alignment horizontal="right" vertical="center"/>
      <protection/>
    </xf>
    <xf numFmtId="164" fontId="103" fillId="33" borderId="34" xfId="80" applyNumberFormat="1" applyFont="1" applyFill="1" applyBorder="1" applyAlignment="1">
      <alignment horizontal="right" vertical="center"/>
      <protection/>
    </xf>
    <xf numFmtId="164" fontId="103" fillId="33" borderId="35" xfId="80" applyNumberFormat="1" applyFont="1" applyFill="1" applyBorder="1" applyAlignment="1">
      <alignment horizontal="right" vertical="center"/>
      <protection/>
    </xf>
    <xf numFmtId="0" fontId="10" fillId="0" borderId="0" xfId="80" applyFont="1" applyFill="1" applyAlignment="1">
      <alignment vertical="center"/>
      <protection/>
    </xf>
    <xf numFmtId="0" fontId="10" fillId="33" borderId="36" xfId="80" applyFont="1" applyFill="1" applyBorder="1" applyAlignment="1">
      <alignment vertical="center"/>
      <protection/>
    </xf>
    <xf numFmtId="0" fontId="10" fillId="33" borderId="37" xfId="80" applyFont="1" applyFill="1" applyBorder="1" applyAlignment="1">
      <alignment vertical="center"/>
      <protection/>
    </xf>
    <xf numFmtId="0" fontId="10" fillId="33" borderId="20" xfId="80" applyFont="1" applyFill="1" applyBorder="1" applyAlignment="1">
      <alignment vertical="center"/>
      <protection/>
    </xf>
    <xf numFmtId="0" fontId="10" fillId="33" borderId="11" xfId="80" applyFont="1" applyFill="1" applyBorder="1" applyAlignment="1">
      <alignment vertical="center"/>
      <protection/>
    </xf>
    <xf numFmtId="0" fontId="6" fillId="33" borderId="11" xfId="80" applyFont="1" applyFill="1" applyBorder="1" applyAlignment="1">
      <alignment vertical="center"/>
      <protection/>
    </xf>
    <xf numFmtId="0" fontId="6" fillId="33" borderId="38" xfId="80" applyFont="1" applyFill="1" applyBorder="1" applyAlignment="1">
      <alignment vertical="center"/>
      <protection/>
    </xf>
    <xf numFmtId="3" fontId="6" fillId="33" borderId="10" xfId="80" applyNumberFormat="1" applyFont="1" applyFill="1" applyBorder="1" applyAlignment="1">
      <alignment horizontal="right" vertical="center"/>
      <protection/>
    </xf>
    <xf numFmtId="164" fontId="103" fillId="33" borderId="10" xfId="80" applyNumberFormat="1" applyFont="1" applyFill="1" applyBorder="1" applyAlignment="1">
      <alignment horizontal="right" vertical="center"/>
      <protection/>
    </xf>
    <xf numFmtId="164" fontId="103" fillId="33" borderId="39" xfId="80" applyNumberFormat="1" applyFont="1" applyFill="1" applyBorder="1" applyAlignment="1">
      <alignment horizontal="right" vertical="center"/>
      <protection/>
    </xf>
    <xf numFmtId="0" fontId="10" fillId="33" borderId="40" xfId="80" applyFont="1" applyFill="1" applyBorder="1" applyAlignment="1">
      <alignment vertical="center"/>
      <protection/>
    </xf>
    <xf numFmtId="0" fontId="10" fillId="33" borderId="14" xfId="80" applyFont="1" applyFill="1" applyBorder="1" applyAlignment="1">
      <alignment vertical="center"/>
      <protection/>
    </xf>
    <xf numFmtId="0" fontId="10" fillId="33" borderId="41" xfId="80" applyFont="1" applyFill="1" applyBorder="1" applyAlignment="1">
      <alignment vertical="center"/>
      <protection/>
    </xf>
    <xf numFmtId="3" fontId="6" fillId="33" borderId="15" xfId="80" applyNumberFormat="1" applyFont="1" applyFill="1" applyBorder="1" applyAlignment="1">
      <alignment horizontal="right" vertical="center"/>
      <protection/>
    </xf>
    <xf numFmtId="164" fontId="103" fillId="33" borderId="42" xfId="80" applyNumberFormat="1" applyFont="1" applyFill="1" applyBorder="1" applyAlignment="1">
      <alignment horizontal="right" vertical="center"/>
      <protection/>
    </xf>
    <xf numFmtId="0" fontId="10" fillId="33" borderId="43" xfId="80" applyFont="1" applyFill="1" applyBorder="1" applyAlignment="1">
      <alignment vertical="center"/>
      <protection/>
    </xf>
    <xf numFmtId="3" fontId="6" fillId="33" borderId="43" xfId="80" applyNumberFormat="1" applyFont="1" applyFill="1" applyBorder="1" applyAlignment="1">
      <alignment horizontal="right" vertical="center"/>
      <protection/>
    </xf>
    <xf numFmtId="164" fontId="103" fillId="33" borderId="28" xfId="80" applyNumberFormat="1" applyFont="1" applyFill="1" applyBorder="1" applyAlignment="1">
      <alignment horizontal="right" vertical="center"/>
      <protection/>
    </xf>
    <xf numFmtId="0" fontId="10" fillId="33" borderId="44" xfId="80" applyFont="1" applyFill="1" applyBorder="1" applyAlignment="1">
      <alignment vertical="center"/>
      <protection/>
    </xf>
    <xf numFmtId="0" fontId="10" fillId="33" borderId="45" xfId="80" applyFont="1" applyFill="1" applyBorder="1" applyAlignment="1">
      <alignment vertical="center"/>
      <protection/>
    </xf>
    <xf numFmtId="0" fontId="10" fillId="33" borderId="19" xfId="80" applyFont="1" applyFill="1" applyBorder="1" applyAlignment="1">
      <alignment vertical="center"/>
      <protection/>
    </xf>
    <xf numFmtId="0" fontId="10" fillId="33" borderId="46" xfId="80" applyFont="1" applyFill="1" applyBorder="1" applyAlignment="1">
      <alignment vertical="center"/>
      <protection/>
    </xf>
    <xf numFmtId="3" fontId="6" fillId="33" borderId="47" xfId="80" applyNumberFormat="1" applyFont="1" applyFill="1" applyBorder="1" applyAlignment="1">
      <alignment horizontal="right" vertical="center"/>
      <protection/>
    </xf>
    <xf numFmtId="164" fontId="103" fillId="33" borderId="47" xfId="80" applyNumberFormat="1" applyFont="1" applyFill="1" applyBorder="1" applyAlignment="1">
      <alignment horizontal="right" vertical="center"/>
      <protection/>
    </xf>
    <xf numFmtId="164" fontId="103" fillId="33" borderId="48" xfId="80" applyNumberFormat="1" applyFont="1" applyFill="1" applyBorder="1" applyAlignment="1">
      <alignment horizontal="right" vertical="center"/>
      <protection/>
    </xf>
    <xf numFmtId="0" fontId="10" fillId="33" borderId="49" xfId="80" applyFont="1" applyFill="1" applyBorder="1" applyAlignment="1">
      <alignment vertical="center"/>
      <protection/>
    </xf>
    <xf numFmtId="0" fontId="10" fillId="33" borderId="38" xfId="80" applyFont="1" applyFill="1" applyBorder="1" applyAlignment="1">
      <alignment vertical="center"/>
      <protection/>
    </xf>
    <xf numFmtId="0" fontId="10" fillId="33" borderId="16" xfId="80" applyFont="1" applyFill="1" applyBorder="1" applyAlignment="1">
      <alignment vertical="center"/>
      <protection/>
    </xf>
    <xf numFmtId="0" fontId="6" fillId="33" borderId="0" xfId="80" applyFont="1" applyFill="1" applyBorder="1" applyAlignment="1">
      <alignment horizontal="right" vertical="center"/>
      <protection/>
    </xf>
    <xf numFmtId="0" fontId="16" fillId="33" borderId="0" xfId="80" applyFont="1" applyFill="1" applyBorder="1" applyAlignment="1">
      <alignment vertical="center"/>
      <protection/>
    </xf>
    <xf numFmtId="0" fontId="103" fillId="33" borderId="24" xfId="80" applyFont="1" applyFill="1" applyBorder="1" applyAlignment="1">
      <alignment horizontal="right" vertical="center"/>
      <protection/>
    </xf>
    <xf numFmtId="0" fontId="16" fillId="0" borderId="0" xfId="80" applyFont="1" applyFill="1" applyAlignment="1">
      <alignment vertical="center"/>
      <protection/>
    </xf>
    <xf numFmtId="3" fontId="14" fillId="33" borderId="25" xfId="80" applyNumberFormat="1" applyFont="1" applyFill="1" applyBorder="1" applyAlignment="1">
      <alignment vertical="center"/>
      <protection/>
    </xf>
    <xf numFmtId="3" fontId="14" fillId="33" borderId="13" xfId="80" applyNumberFormat="1" applyFont="1" applyFill="1" applyBorder="1" applyAlignment="1">
      <alignment vertical="center"/>
      <protection/>
    </xf>
    <xf numFmtId="0" fontId="7" fillId="33" borderId="14" xfId="80" applyFont="1" applyFill="1" applyBorder="1" applyAlignment="1">
      <alignment vertical="center"/>
      <protection/>
    </xf>
    <xf numFmtId="3" fontId="15" fillId="33" borderId="50" xfId="80" applyNumberFormat="1" applyFont="1" applyFill="1" applyBorder="1" applyAlignment="1">
      <alignment vertical="center"/>
      <protection/>
    </xf>
    <xf numFmtId="0" fontId="15" fillId="33" borderId="50" xfId="80" applyFont="1" applyFill="1" applyBorder="1" applyAlignment="1">
      <alignment vertical="center"/>
      <protection/>
    </xf>
    <xf numFmtId="3" fontId="7" fillId="33" borderId="13" xfId="80" applyNumberFormat="1" applyFont="1" applyFill="1" applyBorder="1" applyAlignment="1">
      <alignment horizontal="right" vertical="center"/>
      <protection/>
    </xf>
    <xf numFmtId="164" fontId="104" fillId="33" borderId="13" xfId="80" applyNumberFormat="1" applyFont="1" applyFill="1" applyBorder="1" applyAlignment="1">
      <alignment horizontal="right" vertical="center"/>
      <protection/>
    </xf>
    <xf numFmtId="164" fontId="105" fillId="33" borderId="35" xfId="80" applyNumberFormat="1" applyFont="1" applyFill="1" applyBorder="1" applyAlignment="1">
      <alignment horizontal="right" vertical="center"/>
      <protection/>
    </xf>
    <xf numFmtId="3" fontId="15" fillId="0" borderId="0" xfId="80" applyNumberFormat="1" applyFont="1" applyFill="1" applyAlignment="1">
      <alignment vertical="center"/>
      <protection/>
    </xf>
    <xf numFmtId="0" fontId="13" fillId="33" borderId="27" xfId="80" applyFont="1" applyFill="1" applyBorder="1" applyAlignment="1">
      <alignment vertical="center"/>
      <protection/>
    </xf>
    <xf numFmtId="0" fontId="13" fillId="33" borderId="17" xfId="80" applyFont="1" applyFill="1" applyBorder="1" applyAlignment="1">
      <alignment vertical="center"/>
      <protection/>
    </xf>
    <xf numFmtId="0" fontId="7" fillId="33" borderId="43" xfId="80" applyFont="1" applyFill="1" applyBorder="1" applyAlignment="1">
      <alignment vertical="center"/>
      <protection/>
    </xf>
    <xf numFmtId="3" fontId="7" fillId="33" borderId="17" xfId="80" applyNumberFormat="1" applyFont="1" applyFill="1" applyBorder="1" applyAlignment="1">
      <alignment horizontal="right" vertical="center"/>
      <protection/>
    </xf>
    <xf numFmtId="164" fontId="104" fillId="33" borderId="17" xfId="80" applyNumberFormat="1" applyFont="1" applyFill="1" applyBorder="1" applyAlignment="1">
      <alignment horizontal="right" vertical="center"/>
      <protection/>
    </xf>
    <xf numFmtId="164" fontId="104" fillId="33" borderId="28" xfId="80" applyNumberFormat="1" applyFont="1" applyFill="1" applyBorder="1" applyAlignment="1">
      <alignment horizontal="right" vertical="center"/>
      <protection/>
    </xf>
    <xf numFmtId="0" fontId="7" fillId="33" borderId="27" xfId="80" applyFont="1" applyFill="1" applyBorder="1" applyAlignment="1">
      <alignment vertical="center"/>
      <protection/>
    </xf>
    <xf numFmtId="0" fontId="7" fillId="33" borderId="17" xfId="80" applyFont="1" applyFill="1" applyBorder="1" applyAlignment="1">
      <alignment vertical="center"/>
      <protection/>
    </xf>
    <xf numFmtId="164" fontId="105" fillId="33" borderId="28" xfId="80" applyNumberFormat="1" applyFont="1" applyFill="1" applyBorder="1" applyAlignment="1">
      <alignment horizontal="right" vertical="center"/>
      <protection/>
    </xf>
    <xf numFmtId="0" fontId="7" fillId="33" borderId="29" xfId="80" applyFont="1" applyFill="1" applyBorder="1" applyAlignment="1">
      <alignment vertical="center"/>
      <protection/>
    </xf>
    <xf numFmtId="0" fontId="7" fillId="33" borderId="18" xfId="80" applyFont="1" applyFill="1" applyBorder="1" applyAlignment="1">
      <alignment vertical="center"/>
      <protection/>
    </xf>
    <xf numFmtId="3" fontId="7" fillId="33" borderId="18" xfId="80" applyNumberFormat="1" applyFont="1" applyFill="1" applyBorder="1" applyAlignment="1">
      <alignment horizontal="right" vertical="center"/>
      <protection/>
    </xf>
    <xf numFmtId="3" fontId="15" fillId="33" borderId="18" xfId="80" applyNumberFormat="1" applyFont="1" applyFill="1" applyBorder="1" applyAlignment="1">
      <alignment horizontal="right" vertical="center"/>
      <protection/>
    </xf>
    <xf numFmtId="164" fontId="104" fillId="33" borderId="18" xfId="80" applyNumberFormat="1" applyFont="1" applyFill="1" applyBorder="1" applyAlignment="1">
      <alignment horizontal="right" vertical="center"/>
      <protection/>
    </xf>
    <xf numFmtId="3" fontId="105" fillId="33" borderId="30" xfId="80" applyNumberFormat="1" applyFont="1" applyFill="1" applyBorder="1" applyAlignment="1">
      <alignment horizontal="right" vertical="center"/>
      <protection/>
    </xf>
    <xf numFmtId="0" fontId="5" fillId="0" borderId="0" xfId="80" applyFont="1" applyFill="1" applyBorder="1" applyAlignment="1">
      <alignment vertical="center"/>
      <protection/>
    </xf>
    <xf numFmtId="164" fontId="5" fillId="0" borderId="0" xfId="80" applyNumberFormat="1" applyFont="1" applyFill="1" applyBorder="1" applyAlignment="1">
      <alignment vertical="center"/>
      <protection/>
    </xf>
    <xf numFmtId="3" fontId="5" fillId="0" borderId="0" xfId="80" applyNumberFormat="1" applyFont="1" applyFill="1" applyBorder="1" applyAlignment="1">
      <alignment vertical="center"/>
      <protection/>
    </xf>
    <xf numFmtId="164" fontId="6" fillId="0" borderId="0" xfId="80" applyNumberFormat="1" applyFont="1" applyFill="1" applyBorder="1" applyAlignment="1">
      <alignment vertical="center"/>
      <protection/>
    </xf>
    <xf numFmtId="3" fontId="5" fillId="0" borderId="0" xfId="80" applyNumberFormat="1" applyFont="1" applyFill="1" applyBorder="1" applyAlignment="1">
      <alignment horizontal="right" vertical="center"/>
      <protection/>
    </xf>
    <xf numFmtId="0" fontId="6" fillId="0" borderId="0" xfId="47" applyFont="1" applyFill="1" applyAlignment="1">
      <alignment vertical="center"/>
      <protection/>
    </xf>
    <xf numFmtId="164" fontId="5" fillId="0" borderId="0" xfId="80" applyNumberFormat="1" applyFont="1" applyFill="1" applyBorder="1" applyAlignment="1">
      <alignment horizontal="right" vertical="center"/>
      <protection/>
    </xf>
    <xf numFmtId="0" fontId="9" fillId="0" borderId="0" xfId="47" applyFont="1" applyFill="1" applyAlignment="1">
      <alignment vertical="center"/>
      <protection/>
    </xf>
    <xf numFmtId="0" fontId="18" fillId="0" borderId="0" xfId="47" applyFont="1" applyFill="1" applyAlignment="1">
      <alignment vertical="center"/>
      <protection/>
    </xf>
    <xf numFmtId="164" fontId="9" fillId="0" borderId="0" xfId="47" applyNumberFormat="1" applyFont="1" applyFill="1" applyAlignment="1">
      <alignment horizontal="right" vertical="center"/>
      <protection/>
    </xf>
    <xf numFmtId="164" fontId="9" fillId="0" borderId="0" xfId="47" applyNumberFormat="1" applyFont="1" applyFill="1" applyAlignment="1">
      <alignment vertical="center"/>
      <protection/>
    </xf>
    <xf numFmtId="164" fontId="6" fillId="0" borderId="0" xfId="80" applyNumberFormat="1" applyFont="1" applyFill="1" applyAlignment="1">
      <alignment horizontal="right" vertical="center"/>
      <protection/>
    </xf>
    <xf numFmtId="164" fontId="6" fillId="0" borderId="0" xfId="80" applyNumberFormat="1" applyFont="1" applyFill="1" applyAlignment="1">
      <alignment vertical="center"/>
      <protection/>
    </xf>
    <xf numFmtId="0" fontId="18" fillId="0" borderId="0" xfId="80" applyFont="1" applyFill="1" applyAlignment="1">
      <alignment vertical="center"/>
      <protection/>
    </xf>
    <xf numFmtId="1" fontId="102" fillId="0" borderId="51" xfId="80" applyNumberFormat="1" applyFont="1" applyFill="1" applyBorder="1" applyAlignment="1">
      <alignment horizontal="center" vertical="center"/>
      <protection/>
    </xf>
    <xf numFmtId="0" fontId="103" fillId="33" borderId="0" xfId="80" applyFont="1" applyFill="1" applyBorder="1" applyAlignment="1">
      <alignment vertical="center"/>
      <protection/>
    </xf>
    <xf numFmtId="164" fontId="103" fillId="33" borderId="52" xfId="80" applyNumberFormat="1" applyFont="1" applyFill="1" applyBorder="1" applyAlignment="1">
      <alignment vertical="center"/>
      <protection/>
    </xf>
    <xf numFmtId="164" fontId="103" fillId="33" borderId="40" xfId="80" applyNumberFormat="1" applyFont="1" applyFill="1" applyBorder="1" applyAlignment="1">
      <alignment horizontal="center" vertical="center"/>
      <protection/>
    </xf>
    <xf numFmtId="164" fontId="103" fillId="33" borderId="19" xfId="80" applyNumberFormat="1" applyFont="1" applyFill="1" applyBorder="1" applyAlignment="1">
      <alignment horizontal="right" vertical="center"/>
      <protection/>
    </xf>
    <xf numFmtId="164" fontId="105" fillId="33" borderId="51" xfId="80" applyNumberFormat="1" applyFont="1" applyFill="1" applyBorder="1" applyAlignment="1">
      <alignment horizontal="right" vertical="center"/>
      <protection/>
    </xf>
    <xf numFmtId="166" fontId="103" fillId="33" borderId="0" xfId="80" applyNumberFormat="1" applyFont="1" applyFill="1" applyBorder="1" applyAlignment="1">
      <alignment horizontal="right" vertical="center"/>
      <protection/>
    </xf>
    <xf numFmtId="164" fontId="103" fillId="33" borderId="14" xfId="80" applyNumberFormat="1" applyFont="1" applyFill="1" applyBorder="1" applyAlignment="1">
      <alignment horizontal="right" vertical="center"/>
      <protection/>
    </xf>
    <xf numFmtId="164" fontId="103" fillId="33" borderId="11" xfId="80" applyNumberFormat="1" applyFont="1" applyFill="1" applyBorder="1" applyAlignment="1">
      <alignment horizontal="right" vertical="center"/>
      <protection/>
    </xf>
    <xf numFmtId="164" fontId="103" fillId="33" borderId="16" xfId="80" applyNumberFormat="1" applyFont="1" applyFill="1" applyBorder="1" applyAlignment="1">
      <alignment horizontal="right" vertical="center"/>
      <protection/>
    </xf>
    <xf numFmtId="164" fontId="103" fillId="33" borderId="40" xfId="80" applyNumberFormat="1" applyFont="1" applyFill="1" applyBorder="1" applyAlignment="1">
      <alignment horizontal="right" vertical="center"/>
      <protection/>
    </xf>
    <xf numFmtId="164" fontId="103" fillId="33" borderId="45" xfId="80" applyNumberFormat="1" applyFont="1" applyFill="1" applyBorder="1" applyAlignment="1">
      <alignment horizontal="right" vertical="center"/>
      <protection/>
    </xf>
    <xf numFmtId="0" fontId="103" fillId="33" borderId="0" xfId="80" applyFont="1" applyFill="1" applyBorder="1" applyAlignment="1">
      <alignment horizontal="right" vertical="center"/>
      <protection/>
    </xf>
    <xf numFmtId="164" fontId="105" fillId="33" borderId="14" xfId="80" applyNumberFormat="1" applyFont="1" applyFill="1" applyBorder="1" applyAlignment="1">
      <alignment horizontal="right" vertical="center"/>
      <protection/>
    </xf>
    <xf numFmtId="164" fontId="104" fillId="33" borderId="40" xfId="80" applyNumberFormat="1" applyFont="1" applyFill="1" applyBorder="1" applyAlignment="1">
      <alignment horizontal="right" vertical="center"/>
      <protection/>
    </xf>
    <xf numFmtId="164" fontId="105" fillId="33" borderId="40" xfId="80" applyNumberFormat="1" applyFont="1" applyFill="1" applyBorder="1" applyAlignment="1">
      <alignment horizontal="right" vertical="center"/>
      <protection/>
    </xf>
    <xf numFmtId="3" fontId="105" fillId="33" borderId="19" xfId="80" applyNumberFormat="1" applyFont="1" applyFill="1" applyBorder="1" applyAlignment="1">
      <alignment horizontal="right" vertical="center"/>
      <protection/>
    </xf>
    <xf numFmtId="1" fontId="102" fillId="0" borderId="53" xfId="80" applyNumberFormat="1" applyFont="1" applyFill="1" applyBorder="1" applyAlignment="1">
      <alignment horizontal="center" vertical="center"/>
      <protection/>
    </xf>
    <xf numFmtId="164" fontId="103" fillId="33" borderId="54" xfId="80" applyNumberFormat="1" applyFont="1" applyFill="1" applyBorder="1" applyAlignment="1">
      <alignment vertical="center"/>
      <protection/>
    </xf>
    <xf numFmtId="164" fontId="103" fillId="33" borderId="55" xfId="80" applyNumberFormat="1" applyFont="1" applyFill="1" applyBorder="1" applyAlignment="1">
      <alignment horizontal="center" vertical="center"/>
      <protection/>
    </xf>
    <xf numFmtId="164" fontId="103" fillId="33" borderId="56" xfId="80" applyNumberFormat="1" applyFont="1" applyFill="1" applyBorder="1" applyAlignment="1">
      <alignment vertical="center"/>
      <protection/>
    </xf>
    <xf numFmtId="164" fontId="104" fillId="33" borderId="53" xfId="80" applyNumberFormat="1" applyFont="1" applyFill="1" applyBorder="1" applyAlignment="1">
      <alignment horizontal="right" vertical="center"/>
      <protection/>
    </xf>
    <xf numFmtId="164" fontId="103" fillId="33" borderId="57" xfId="80" applyNumberFormat="1" applyFont="1" applyFill="1" applyBorder="1" applyAlignment="1">
      <alignment horizontal="right" vertical="center"/>
      <protection/>
    </xf>
    <xf numFmtId="164" fontId="103" fillId="33" borderId="55" xfId="80" applyNumberFormat="1" applyFont="1" applyFill="1" applyBorder="1" applyAlignment="1">
      <alignment horizontal="right" vertical="center"/>
      <protection/>
    </xf>
    <xf numFmtId="164" fontId="103" fillId="33" borderId="56" xfId="80" applyNumberFormat="1" applyFont="1" applyFill="1" applyBorder="1" applyAlignment="1">
      <alignment horizontal="right" vertical="center"/>
      <protection/>
    </xf>
    <xf numFmtId="164" fontId="103" fillId="33" borderId="58" xfId="80" applyNumberFormat="1" applyFont="1" applyFill="1" applyBorder="1" applyAlignment="1">
      <alignment horizontal="right" vertical="center"/>
      <protection/>
    </xf>
    <xf numFmtId="164" fontId="103" fillId="33" borderId="59" xfId="80" applyNumberFormat="1" applyFont="1" applyFill="1" applyBorder="1" applyAlignment="1">
      <alignment horizontal="right" vertical="center"/>
      <protection/>
    </xf>
    <xf numFmtId="164" fontId="104" fillId="33" borderId="57" xfId="80" applyNumberFormat="1" applyFont="1" applyFill="1" applyBorder="1" applyAlignment="1">
      <alignment horizontal="right" vertical="center"/>
      <protection/>
    </xf>
    <xf numFmtId="164" fontId="104" fillId="33" borderId="55" xfId="80" applyNumberFormat="1" applyFont="1" applyFill="1" applyBorder="1" applyAlignment="1">
      <alignment horizontal="right" vertical="center"/>
      <protection/>
    </xf>
    <xf numFmtId="164" fontId="104" fillId="33" borderId="56" xfId="80" applyNumberFormat="1" applyFont="1" applyFill="1" applyBorder="1" applyAlignment="1">
      <alignment horizontal="right" vertical="center"/>
      <protection/>
    </xf>
    <xf numFmtId="3" fontId="10" fillId="0" borderId="0" xfId="80" applyNumberFormat="1" applyFont="1" applyFill="1" applyAlignment="1">
      <alignment vertical="center"/>
      <protection/>
    </xf>
    <xf numFmtId="3" fontId="10" fillId="33" borderId="15" xfId="80" applyNumberFormat="1" applyFont="1" applyFill="1" applyBorder="1" applyAlignment="1">
      <alignment horizontal="right" vertical="center"/>
      <protection/>
    </xf>
    <xf numFmtId="3" fontId="10" fillId="33" borderId="17" xfId="80" applyNumberFormat="1" applyFont="1" applyFill="1" applyBorder="1" applyAlignment="1">
      <alignment horizontal="right" vertical="center"/>
      <protection/>
    </xf>
    <xf numFmtId="3" fontId="10" fillId="33" borderId="43" xfId="80" applyNumberFormat="1" applyFont="1" applyFill="1" applyBorder="1" applyAlignment="1">
      <alignment horizontal="right" vertical="center"/>
      <protection/>
    </xf>
    <xf numFmtId="0" fontId="10" fillId="33" borderId="47" xfId="80" applyFont="1" applyFill="1" applyBorder="1" applyAlignment="1">
      <alignment vertical="center"/>
      <protection/>
    </xf>
    <xf numFmtId="0" fontId="7" fillId="33" borderId="0" xfId="80" applyFont="1" applyFill="1" applyAlignment="1">
      <alignment vertical="center"/>
      <protection/>
    </xf>
    <xf numFmtId="0" fontId="10" fillId="0" borderId="40" xfId="80" applyFont="1" applyFill="1" applyBorder="1" applyAlignment="1">
      <alignment vertical="center"/>
      <protection/>
    </xf>
    <xf numFmtId="0" fontId="10" fillId="0" borderId="43" xfId="80" applyFont="1" applyFill="1" applyBorder="1" applyAlignment="1">
      <alignment vertical="center"/>
      <protection/>
    </xf>
    <xf numFmtId="0" fontId="14" fillId="33" borderId="51" xfId="80" applyFont="1" applyFill="1" applyBorder="1" applyAlignment="1">
      <alignment vertical="center" wrapText="1"/>
      <protection/>
    </xf>
    <xf numFmtId="0" fontId="13" fillId="33" borderId="51" xfId="80" applyFont="1" applyFill="1" applyBorder="1" applyAlignment="1">
      <alignment vertical="center"/>
      <protection/>
    </xf>
    <xf numFmtId="0" fontId="13" fillId="33" borderId="60" xfId="80" applyFont="1" applyFill="1" applyBorder="1" applyAlignment="1">
      <alignment vertical="center" wrapText="1"/>
      <protection/>
    </xf>
    <xf numFmtId="3" fontId="6" fillId="0" borderId="10" xfId="47" applyNumberFormat="1" applyFont="1" applyFill="1" applyBorder="1" applyAlignment="1">
      <alignment horizontal="right" vertical="center"/>
      <protection/>
    </xf>
    <xf numFmtId="0" fontId="10" fillId="0" borderId="37" xfId="80" applyFont="1" applyFill="1" applyBorder="1" applyAlignment="1">
      <alignment vertical="center"/>
      <protection/>
    </xf>
    <xf numFmtId="0" fontId="10" fillId="0" borderId="61" xfId="80" applyFont="1" applyFill="1" applyBorder="1" applyAlignment="1">
      <alignment vertical="center"/>
      <protection/>
    </xf>
    <xf numFmtId="0" fontId="10" fillId="0" borderId="62" xfId="80" applyFont="1" applyFill="1" applyBorder="1" applyAlignment="1">
      <alignment vertical="center"/>
      <protection/>
    </xf>
    <xf numFmtId="0" fontId="10" fillId="0" borderId="44" xfId="80" applyFont="1" applyFill="1" applyBorder="1" applyAlignment="1">
      <alignment vertical="center"/>
      <protection/>
    </xf>
    <xf numFmtId="0" fontId="10" fillId="0" borderId="45" xfId="80" applyFont="1" applyFill="1" applyBorder="1" applyAlignment="1">
      <alignment vertical="center"/>
      <protection/>
    </xf>
    <xf numFmtId="0" fontId="10" fillId="0" borderId="14" xfId="80" applyFont="1" applyFill="1" applyBorder="1" applyAlignment="1">
      <alignment vertical="center"/>
      <protection/>
    </xf>
    <xf numFmtId="0" fontId="10" fillId="0" borderId="50" xfId="80" applyFont="1" applyFill="1" applyBorder="1" applyAlignment="1">
      <alignment vertical="center"/>
      <protection/>
    </xf>
    <xf numFmtId="3" fontId="6" fillId="0" borderId="13" xfId="80" applyNumberFormat="1" applyFont="1" applyFill="1" applyBorder="1" applyAlignment="1">
      <alignment horizontal="right" vertical="center"/>
      <protection/>
    </xf>
    <xf numFmtId="164" fontId="103" fillId="0" borderId="13" xfId="80" applyNumberFormat="1" applyFont="1" applyFill="1" applyBorder="1" applyAlignment="1">
      <alignment horizontal="right" vertical="center"/>
      <protection/>
    </xf>
    <xf numFmtId="164" fontId="103" fillId="0" borderId="14" xfId="80" applyNumberFormat="1" applyFont="1" applyFill="1" applyBorder="1" applyAlignment="1">
      <alignment horizontal="right" vertical="center"/>
      <protection/>
    </xf>
    <xf numFmtId="164" fontId="103" fillId="0" borderId="57" xfId="80" applyNumberFormat="1" applyFont="1" applyFill="1" applyBorder="1" applyAlignment="1">
      <alignment horizontal="right" vertical="center"/>
      <protection/>
    </xf>
    <xf numFmtId="3" fontId="6" fillId="0" borderId="15" xfId="80" applyNumberFormat="1" applyFont="1" applyFill="1" applyBorder="1" applyAlignment="1">
      <alignment horizontal="right" vertical="center"/>
      <protection/>
    </xf>
    <xf numFmtId="3" fontId="6" fillId="0" borderId="17" xfId="80" applyNumberFormat="1" applyFont="1" applyFill="1" applyBorder="1" applyAlignment="1">
      <alignment horizontal="right" vertical="center"/>
      <protection/>
    </xf>
    <xf numFmtId="164" fontId="103" fillId="0" borderId="17" xfId="80" applyNumberFormat="1" applyFont="1" applyFill="1" applyBorder="1" applyAlignment="1">
      <alignment horizontal="right" vertical="center"/>
      <protection/>
    </xf>
    <xf numFmtId="164" fontId="103" fillId="0" borderId="40" xfId="80" applyNumberFormat="1" applyFont="1" applyFill="1" applyBorder="1" applyAlignment="1">
      <alignment horizontal="right" vertical="center"/>
      <protection/>
    </xf>
    <xf numFmtId="164" fontId="103" fillId="0" borderId="55" xfId="80" applyNumberFormat="1" applyFont="1" applyFill="1" applyBorder="1" applyAlignment="1">
      <alignment horizontal="right" vertical="center"/>
      <protection/>
    </xf>
    <xf numFmtId="164" fontId="103" fillId="0" borderId="15" xfId="80" applyNumberFormat="1" applyFont="1" applyFill="1" applyBorder="1" applyAlignment="1">
      <alignment horizontal="right" vertical="center"/>
      <protection/>
    </xf>
    <xf numFmtId="164" fontId="103" fillId="0" borderId="16" xfId="80" applyNumberFormat="1" applyFont="1" applyFill="1" applyBorder="1" applyAlignment="1">
      <alignment horizontal="right" vertical="center"/>
      <protection/>
    </xf>
    <xf numFmtId="164" fontId="103" fillId="0" borderId="61" xfId="80" applyNumberFormat="1" applyFont="1" applyFill="1" applyBorder="1" applyAlignment="1">
      <alignment horizontal="right" vertical="center"/>
      <protection/>
    </xf>
    <xf numFmtId="0" fontId="10" fillId="0" borderId="16" xfId="80" applyFont="1" applyFill="1" applyBorder="1" applyAlignment="1">
      <alignment vertical="center"/>
      <protection/>
    </xf>
    <xf numFmtId="1" fontId="5" fillId="0" borderId="63" xfId="80" applyNumberFormat="1" applyFont="1" applyFill="1" applyBorder="1" applyAlignment="1">
      <alignment horizontal="center" vertical="center"/>
      <protection/>
    </xf>
    <xf numFmtId="3" fontId="10" fillId="33" borderId="64" xfId="80" applyNumberFormat="1" applyFont="1" applyFill="1" applyBorder="1" applyAlignment="1">
      <alignment horizontal="center" vertical="center"/>
      <protection/>
    </xf>
    <xf numFmtId="3" fontId="13" fillId="33" borderId="63" xfId="80" applyNumberFormat="1" applyFont="1" applyFill="1" applyBorder="1" applyAlignment="1">
      <alignment horizontal="right" vertical="center"/>
      <protection/>
    </xf>
    <xf numFmtId="3" fontId="10" fillId="33" borderId="64" xfId="80" applyNumberFormat="1" applyFont="1" applyFill="1" applyBorder="1" applyAlignment="1">
      <alignment horizontal="right" vertical="center"/>
      <protection/>
    </xf>
    <xf numFmtId="3" fontId="6" fillId="0" borderId="65" xfId="80" applyNumberFormat="1" applyFont="1" applyFill="1" applyBorder="1" applyAlignment="1">
      <alignment horizontal="right" vertical="center"/>
      <protection/>
    </xf>
    <xf numFmtId="3" fontId="6" fillId="0" borderId="66" xfId="80" applyNumberFormat="1" applyFont="1" applyFill="1" applyBorder="1" applyAlignment="1">
      <alignment horizontal="right" vertical="center"/>
      <protection/>
    </xf>
    <xf numFmtId="3" fontId="6" fillId="0" borderId="67" xfId="80" applyNumberFormat="1" applyFont="1" applyFill="1" applyBorder="1" applyAlignment="1">
      <alignment horizontal="right" vertical="center"/>
      <protection/>
    </xf>
    <xf numFmtId="3" fontId="6" fillId="33" borderId="68" xfId="47" applyNumberFormat="1" applyFont="1" applyFill="1" applyBorder="1" applyAlignment="1">
      <alignment horizontal="right" vertical="center"/>
      <protection/>
    </xf>
    <xf numFmtId="3" fontId="6" fillId="0" borderId="69" xfId="80" applyNumberFormat="1" applyFont="1" applyFill="1" applyBorder="1" applyAlignment="1">
      <alignment horizontal="right" vertical="center"/>
      <protection/>
    </xf>
    <xf numFmtId="3" fontId="7" fillId="33" borderId="65" xfId="80" applyNumberFormat="1" applyFont="1" applyFill="1" applyBorder="1" applyAlignment="1">
      <alignment horizontal="right" vertical="center"/>
      <protection/>
    </xf>
    <xf numFmtId="3" fontId="15" fillId="33" borderId="66" xfId="80" applyNumberFormat="1" applyFont="1" applyFill="1" applyBorder="1" applyAlignment="1">
      <alignment horizontal="right" vertical="center"/>
      <protection/>
    </xf>
    <xf numFmtId="3" fontId="7" fillId="33" borderId="66" xfId="80" applyNumberFormat="1" applyFont="1" applyFill="1" applyBorder="1" applyAlignment="1">
      <alignment horizontal="right" vertical="center"/>
      <protection/>
    </xf>
    <xf numFmtId="3" fontId="15" fillId="33" borderId="70" xfId="80" applyNumberFormat="1" applyFont="1" applyFill="1" applyBorder="1" applyAlignment="1">
      <alignment horizontal="right" vertical="center"/>
      <protection/>
    </xf>
    <xf numFmtId="0" fontId="10" fillId="33" borderId="12" xfId="80" applyFont="1" applyFill="1" applyBorder="1" applyAlignment="1">
      <alignment vertical="center"/>
      <protection/>
    </xf>
    <xf numFmtId="0" fontId="10" fillId="33" borderId="71" xfId="80" applyFont="1" applyFill="1" applyBorder="1" applyAlignment="1">
      <alignment vertical="center"/>
      <protection/>
    </xf>
    <xf numFmtId="0" fontId="10" fillId="33" borderId="21" xfId="80" applyFont="1" applyFill="1" applyBorder="1" applyAlignment="1">
      <alignment vertical="center"/>
      <protection/>
    </xf>
    <xf numFmtId="0" fontId="10" fillId="33" borderId="15" xfId="80" applyFont="1" applyFill="1" applyBorder="1" applyAlignment="1">
      <alignment vertical="center"/>
      <protection/>
    </xf>
    <xf numFmtId="3" fontId="5" fillId="7" borderId="14" xfId="80" applyNumberFormat="1" applyFont="1" applyFill="1" applyBorder="1" applyAlignment="1">
      <alignment horizontal="center" vertical="center"/>
      <protection/>
    </xf>
    <xf numFmtId="0" fontId="7" fillId="33" borderId="12" xfId="8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3" fontId="107" fillId="0" borderId="0" xfId="0" applyNumberFormat="1" applyFont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center" vertical="center" wrapText="1"/>
    </xf>
    <xf numFmtId="3" fontId="107" fillId="0" borderId="72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 vertical="center"/>
    </xf>
    <xf numFmtId="0" fontId="107" fillId="0" borderId="73" xfId="0" applyFont="1" applyBorder="1" applyAlignment="1">
      <alignment horizontal="center" vertical="center" wrapText="1"/>
    </xf>
    <xf numFmtId="0" fontId="107" fillId="0" borderId="73" xfId="0" applyFont="1" applyBorder="1" applyAlignment="1">
      <alignment vertical="center" wrapText="1"/>
    </xf>
    <xf numFmtId="3" fontId="107" fillId="0" borderId="74" xfId="0" applyNumberFormat="1" applyFont="1" applyBorder="1" applyAlignment="1">
      <alignment vertical="center"/>
    </xf>
    <xf numFmtId="3" fontId="107" fillId="0" borderId="75" xfId="0" applyNumberFormat="1" applyFont="1" applyBorder="1" applyAlignment="1">
      <alignment vertical="center"/>
    </xf>
    <xf numFmtId="3" fontId="107" fillId="0" borderId="73" xfId="0" applyNumberFormat="1" applyFont="1" applyBorder="1" applyAlignment="1">
      <alignment vertical="center"/>
    </xf>
    <xf numFmtId="3" fontId="107" fillId="0" borderId="76" xfId="0" applyNumberFormat="1" applyFont="1" applyBorder="1" applyAlignment="1">
      <alignment vertical="center"/>
    </xf>
    <xf numFmtId="0" fontId="107" fillId="0" borderId="77" xfId="0" applyFont="1" applyBorder="1" applyAlignment="1">
      <alignment horizontal="center" vertical="center" wrapText="1"/>
    </xf>
    <xf numFmtId="0" fontId="107" fillId="0" borderId="77" xfId="0" applyFont="1" applyBorder="1" applyAlignment="1">
      <alignment vertical="center" wrapText="1"/>
    </xf>
    <xf numFmtId="3" fontId="107" fillId="0" borderId="77" xfId="0" applyNumberFormat="1" applyFont="1" applyBorder="1" applyAlignment="1">
      <alignment vertical="center"/>
    </xf>
    <xf numFmtId="3" fontId="107" fillId="0" borderId="78" xfId="0" applyNumberFormat="1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27" fillId="0" borderId="39" xfId="0" applyNumberFormat="1" applyFont="1" applyBorder="1" applyAlignment="1">
      <alignment vertical="center"/>
    </xf>
    <xf numFmtId="0" fontId="109" fillId="0" borderId="49" xfId="0" applyFont="1" applyFill="1" applyBorder="1" applyAlignment="1">
      <alignment vertical="center" wrapText="1"/>
    </xf>
    <xf numFmtId="0" fontId="109" fillId="0" borderId="3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09" fillId="0" borderId="0" xfId="0" applyFont="1" applyAlignment="1">
      <alignment vertical="center"/>
    </xf>
    <xf numFmtId="4" fontId="27" fillId="0" borderId="39" xfId="0" applyNumberFormat="1" applyFont="1" applyBorder="1" applyAlignment="1">
      <alignment vertical="center"/>
    </xf>
    <xf numFmtId="0" fontId="107" fillId="0" borderId="12" xfId="0" applyFont="1" applyBorder="1" applyAlignment="1">
      <alignment horizontal="center" vertical="center" wrapText="1"/>
    </xf>
    <xf numFmtId="0" fontId="107" fillId="0" borderId="26" xfId="0" applyFont="1" applyBorder="1" applyAlignment="1">
      <alignment horizontal="center" vertical="center" wrapText="1"/>
    </xf>
    <xf numFmtId="0" fontId="107" fillId="0" borderId="25" xfId="0" applyFont="1" applyBorder="1" applyAlignment="1">
      <alignment vertical="center"/>
    </xf>
    <xf numFmtId="0" fontId="107" fillId="0" borderId="13" xfId="0" applyFont="1" applyBorder="1" applyAlignment="1">
      <alignment vertical="center"/>
    </xf>
    <xf numFmtId="3" fontId="107" fillId="0" borderId="13" xfId="0" applyNumberFormat="1" applyFont="1" applyBorder="1" applyAlignment="1">
      <alignment vertical="center"/>
    </xf>
    <xf numFmtId="3" fontId="107" fillId="0" borderId="35" xfId="0" applyNumberFormat="1" applyFont="1" applyFill="1" applyBorder="1" applyAlignment="1">
      <alignment vertical="center"/>
    </xf>
    <xf numFmtId="0" fontId="110" fillId="0" borderId="27" xfId="0" applyFont="1" applyFill="1" applyBorder="1" applyAlignment="1">
      <alignment vertical="center"/>
    </xf>
    <xf numFmtId="0" fontId="110" fillId="0" borderId="17" xfId="0" applyFont="1" applyBorder="1" applyAlignment="1">
      <alignment vertical="center"/>
    </xf>
    <xf numFmtId="10" fontId="110" fillId="0" borderId="17" xfId="0" applyNumberFormat="1" applyFont="1" applyBorder="1" applyAlignment="1">
      <alignment vertical="center"/>
    </xf>
    <xf numFmtId="10" fontId="110" fillId="0" borderId="28" xfId="0" applyNumberFormat="1" applyFont="1" applyBorder="1" applyAlignment="1">
      <alignment vertical="center"/>
    </xf>
    <xf numFmtId="0" fontId="107" fillId="0" borderId="27" xfId="0" applyFont="1" applyFill="1" applyBorder="1" applyAlignment="1">
      <alignment vertical="center"/>
    </xf>
    <xf numFmtId="0" fontId="107" fillId="0" borderId="17" xfId="0" applyFont="1" applyBorder="1" applyAlignment="1">
      <alignment vertical="center"/>
    </xf>
    <xf numFmtId="3" fontId="107" fillId="0" borderId="17" xfId="0" applyNumberFormat="1" applyFont="1" applyBorder="1" applyAlignment="1">
      <alignment vertical="center"/>
    </xf>
    <xf numFmtId="3" fontId="107" fillId="0" borderId="28" xfId="0" applyNumberFormat="1" applyFont="1" applyBorder="1" applyAlignment="1">
      <alignment vertical="center"/>
    </xf>
    <xf numFmtId="0" fontId="110" fillId="0" borderId="29" xfId="0" applyFont="1" applyFill="1" applyBorder="1" applyAlignment="1">
      <alignment vertical="center"/>
    </xf>
    <xf numFmtId="0" fontId="110" fillId="0" borderId="18" xfId="0" applyFont="1" applyBorder="1" applyAlignment="1">
      <alignment vertical="center"/>
    </xf>
    <xf numFmtId="10" fontId="110" fillId="0" borderId="18" xfId="0" applyNumberFormat="1" applyFont="1" applyBorder="1" applyAlignment="1">
      <alignment vertical="center"/>
    </xf>
    <xf numFmtId="10" fontId="110" fillId="0" borderId="30" xfId="0" applyNumberFormat="1" applyFont="1" applyBorder="1" applyAlignment="1">
      <alignment vertical="center"/>
    </xf>
    <xf numFmtId="0" fontId="106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81" applyFont="1" applyAlignment="1">
      <alignment vertical="center"/>
      <protection/>
    </xf>
    <xf numFmtId="0" fontId="9" fillId="0" borderId="79" xfId="81" applyFont="1" applyBorder="1" applyAlignment="1">
      <alignment horizontal="center" vertical="center"/>
      <protection/>
    </xf>
    <xf numFmtId="0" fontId="9" fillId="0" borderId="52" xfId="81" applyFont="1" applyBorder="1" applyAlignment="1">
      <alignment horizontal="centerContinuous" vertical="center"/>
      <protection/>
    </xf>
    <xf numFmtId="0" fontId="9" fillId="0" borderId="41" xfId="81" applyFont="1" applyBorder="1" applyAlignment="1">
      <alignment horizontal="centerContinuous" vertical="center"/>
      <protection/>
    </xf>
    <xf numFmtId="0" fontId="9" fillId="0" borderId="54" xfId="81" applyFont="1" applyBorder="1" applyAlignment="1">
      <alignment horizontal="centerContinuous" vertical="center"/>
      <protection/>
    </xf>
    <xf numFmtId="0" fontId="9" fillId="0" borderId="26" xfId="81" applyFont="1" applyFill="1" applyBorder="1" applyAlignment="1">
      <alignment horizontal="center" vertical="center"/>
      <protection/>
    </xf>
    <xf numFmtId="0" fontId="107" fillId="0" borderId="0" xfId="0" applyFont="1" applyAlignment="1">
      <alignment/>
    </xf>
    <xf numFmtId="0" fontId="9" fillId="0" borderId="31" xfId="81" applyFont="1" applyBorder="1" applyAlignment="1">
      <alignment horizontal="center" vertical="center" wrapText="1"/>
      <protection/>
    </xf>
    <xf numFmtId="0" fontId="9" fillId="0" borderId="18" xfId="81" applyFont="1" applyBorder="1" applyAlignment="1">
      <alignment horizontal="center" vertical="center" wrapText="1"/>
      <protection/>
    </xf>
    <xf numFmtId="0" fontId="9" fillId="0" borderId="22" xfId="81" applyFont="1" applyFill="1" applyBorder="1" applyAlignment="1">
      <alignment horizontal="center" vertical="center" wrapText="1"/>
      <protection/>
    </xf>
    <xf numFmtId="0" fontId="107" fillId="0" borderId="0" xfId="0" applyFont="1" applyBorder="1" applyAlignment="1">
      <alignment/>
    </xf>
    <xf numFmtId="0" fontId="9" fillId="0" borderId="80" xfId="81" applyFont="1" applyBorder="1" applyAlignment="1">
      <alignment vertical="center"/>
      <protection/>
    </xf>
    <xf numFmtId="3" fontId="9" fillId="0" borderId="15" xfId="81" applyNumberFormat="1" applyFont="1" applyBorder="1" applyAlignment="1">
      <alignment vertical="center"/>
      <protection/>
    </xf>
    <xf numFmtId="3" fontId="9" fillId="0" borderId="42" xfId="81" applyNumberFormat="1" applyFont="1" applyFill="1" applyBorder="1" applyAlignment="1">
      <alignment vertical="center"/>
      <protection/>
    </xf>
    <xf numFmtId="0" fontId="9" fillId="0" borderId="27" xfId="81" applyFont="1" applyBorder="1" applyAlignment="1">
      <alignment vertical="center"/>
      <protection/>
    </xf>
    <xf numFmtId="0" fontId="9" fillId="0" borderId="44" xfId="81" applyFont="1" applyBorder="1" applyAlignment="1">
      <alignment vertical="center"/>
      <protection/>
    </xf>
    <xf numFmtId="3" fontId="9" fillId="0" borderId="71" xfId="81" applyNumberFormat="1" applyFont="1" applyBorder="1" applyAlignment="1">
      <alignment vertical="center"/>
      <protection/>
    </xf>
    <xf numFmtId="0" fontId="9" fillId="0" borderId="20" xfId="81" applyFont="1" applyBorder="1" applyAlignment="1">
      <alignment vertical="center"/>
      <protection/>
    </xf>
    <xf numFmtId="3" fontId="9" fillId="0" borderId="10" xfId="81" applyNumberFormat="1" applyFont="1" applyBorder="1" applyAlignment="1">
      <alignment vertical="center"/>
      <protection/>
    </xf>
    <xf numFmtId="0" fontId="9" fillId="0" borderId="49" xfId="81" applyFont="1" applyBorder="1" applyAlignment="1">
      <alignment vertical="center"/>
      <protection/>
    </xf>
    <xf numFmtId="0" fontId="9" fillId="0" borderId="38" xfId="81" applyFont="1" applyBorder="1" applyAlignment="1">
      <alignment vertical="center"/>
      <protection/>
    </xf>
    <xf numFmtId="4" fontId="9" fillId="0" borderId="81" xfId="81" applyNumberFormat="1" applyFont="1" applyFill="1" applyBorder="1" applyAlignment="1">
      <alignment vertical="center"/>
      <protection/>
    </xf>
    <xf numFmtId="0" fontId="111" fillId="0" borderId="0" xfId="0" applyFont="1" applyAlignment="1">
      <alignment/>
    </xf>
    <xf numFmtId="0" fontId="28" fillId="0" borderId="0" xfId="0" applyFont="1" applyAlignment="1">
      <alignment vertical="center"/>
    </xf>
    <xf numFmtId="0" fontId="107" fillId="0" borderId="20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0" borderId="82" xfId="0" applyFont="1" applyBorder="1" applyAlignment="1">
      <alignment vertical="center"/>
    </xf>
    <xf numFmtId="0" fontId="107" fillId="0" borderId="50" xfId="0" applyFont="1" applyBorder="1" applyAlignment="1">
      <alignment vertical="center"/>
    </xf>
    <xf numFmtId="3" fontId="107" fillId="0" borderId="35" xfId="0" applyNumberFormat="1" applyFont="1" applyBorder="1" applyAlignment="1">
      <alignment vertical="center"/>
    </xf>
    <xf numFmtId="0" fontId="107" fillId="0" borderId="83" xfId="0" applyFont="1" applyBorder="1" applyAlignment="1">
      <alignment vertical="center"/>
    </xf>
    <xf numFmtId="0" fontId="107" fillId="0" borderId="43" xfId="0" applyFont="1" applyBorder="1" applyAlignment="1">
      <alignment vertical="center"/>
    </xf>
    <xf numFmtId="3" fontId="107" fillId="0" borderId="28" xfId="0" applyNumberFormat="1" applyFont="1" applyFill="1" applyBorder="1" applyAlignment="1">
      <alignment vertical="center"/>
    </xf>
    <xf numFmtId="0" fontId="107" fillId="0" borderId="84" xfId="0" applyFont="1" applyBorder="1" applyAlignment="1">
      <alignment vertical="center"/>
    </xf>
    <xf numFmtId="0" fontId="107" fillId="0" borderId="46" xfId="0" applyFont="1" applyBorder="1" applyAlignment="1">
      <alignment vertical="center"/>
    </xf>
    <xf numFmtId="3" fontId="107" fillId="0" borderId="48" xfId="0" applyNumberFormat="1" applyFont="1" applyBorder="1" applyAlignment="1">
      <alignment vertical="center"/>
    </xf>
    <xf numFmtId="0" fontId="107" fillId="0" borderId="49" xfId="0" applyFont="1" applyBorder="1" applyAlignment="1">
      <alignment vertical="center"/>
    </xf>
    <xf numFmtId="0" fontId="107" fillId="0" borderId="38" xfId="0" applyFont="1" applyBorder="1" applyAlignment="1">
      <alignment vertical="center"/>
    </xf>
    <xf numFmtId="3" fontId="107" fillId="0" borderId="39" xfId="0" applyNumberFormat="1" applyFont="1" applyFill="1" applyBorder="1" applyAlignment="1">
      <alignment vertical="center"/>
    </xf>
    <xf numFmtId="0" fontId="107" fillId="0" borderId="36" xfId="0" applyFont="1" applyBorder="1" applyAlignment="1">
      <alignment vertical="center"/>
    </xf>
    <xf numFmtId="0" fontId="107" fillId="0" borderId="37" xfId="0" applyFont="1" applyBorder="1" applyAlignment="1">
      <alignment vertical="center"/>
    </xf>
    <xf numFmtId="3" fontId="107" fillId="0" borderId="42" xfId="0" applyNumberFormat="1" applyFont="1" applyFill="1" applyBorder="1" applyAlignment="1">
      <alignment vertical="center"/>
    </xf>
    <xf numFmtId="0" fontId="111" fillId="0" borderId="0" xfId="0" applyFont="1" applyAlignment="1">
      <alignment vertical="center"/>
    </xf>
    <xf numFmtId="0" fontId="107" fillId="0" borderId="85" xfId="0" applyFont="1" applyBorder="1" applyAlignment="1">
      <alignment vertical="center"/>
    </xf>
    <xf numFmtId="0" fontId="107" fillId="0" borderId="86" xfId="0" applyFont="1" applyBorder="1" applyAlignment="1">
      <alignment vertical="center"/>
    </xf>
    <xf numFmtId="3" fontId="107" fillId="0" borderId="30" xfId="0" applyNumberFormat="1" applyFont="1" applyFill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107" fillId="0" borderId="0" xfId="0" applyFont="1" applyBorder="1" applyAlignment="1">
      <alignment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79" xfId="0" applyFont="1" applyBorder="1" applyAlignment="1">
      <alignment horizontal="center" vertical="center" wrapText="1"/>
    </xf>
    <xf numFmtId="0" fontId="107" fillId="0" borderId="87" xfId="0" applyFont="1" applyBorder="1" applyAlignment="1">
      <alignment horizontal="center" vertical="center" wrapText="1"/>
    </xf>
    <xf numFmtId="0" fontId="107" fillId="0" borderId="74" xfId="0" applyFont="1" applyBorder="1" applyAlignment="1">
      <alignment vertical="center" wrapText="1"/>
    </xf>
    <xf numFmtId="3" fontId="107" fillId="0" borderId="74" xfId="0" applyNumberFormat="1" applyFont="1" applyBorder="1" applyAlignment="1">
      <alignment horizontal="right" vertical="center" wrapText="1"/>
    </xf>
    <xf numFmtId="0" fontId="107" fillId="0" borderId="88" xfId="0" applyFont="1" applyBorder="1" applyAlignment="1">
      <alignment horizontal="center" vertical="center" wrapText="1"/>
    </xf>
    <xf numFmtId="3" fontId="107" fillId="0" borderId="73" xfId="0" applyNumberFormat="1" applyFont="1" applyBorder="1" applyAlignment="1">
      <alignment horizontal="right" vertical="center" wrapText="1"/>
    </xf>
    <xf numFmtId="3" fontId="107" fillId="0" borderId="89" xfId="0" applyNumberFormat="1" applyFont="1" applyBorder="1" applyAlignment="1">
      <alignment vertical="center"/>
    </xf>
    <xf numFmtId="3" fontId="107" fillId="0" borderId="90" xfId="0" applyNumberFormat="1" applyFont="1" applyBorder="1" applyAlignment="1">
      <alignment vertical="center"/>
    </xf>
    <xf numFmtId="0" fontId="107" fillId="0" borderId="91" xfId="0" applyFont="1" applyBorder="1" applyAlignment="1">
      <alignment horizontal="center" vertical="center" wrapText="1"/>
    </xf>
    <xf numFmtId="0" fontId="107" fillId="0" borderId="92" xfId="0" applyFont="1" applyBorder="1" applyAlignment="1">
      <alignment vertical="center" wrapText="1"/>
    </xf>
    <xf numFmtId="3" fontId="107" fillId="0" borderId="92" xfId="0" applyNumberFormat="1" applyFont="1" applyBorder="1" applyAlignment="1">
      <alignment horizontal="right" vertical="center" wrapText="1"/>
    </xf>
    <xf numFmtId="3" fontId="107" fillId="0" borderId="93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7" fillId="7" borderId="52" xfId="80" applyFont="1" applyFill="1" applyBorder="1" applyAlignment="1">
      <alignment horizontal="center" vertical="center"/>
      <protection/>
    </xf>
    <xf numFmtId="3" fontId="5" fillId="7" borderId="40" xfId="80" applyNumberFormat="1" applyFont="1" applyFill="1" applyBorder="1" applyAlignment="1">
      <alignment horizontal="center" vertical="center"/>
      <protection/>
    </xf>
    <xf numFmtId="4" fontId="5" fillId="7" borderId="19" xfId="80" applyNumberFormat="1" applyFont="1" applyFill="1" applyBorder="1" applyAlignment="1">
      <alignment horizontal="center" vertical="center"/>
      <protection/>
    </xf>
    <xf numFmtId="0" fontId="15" fillId="33" borderId="26" xfId="80" applyFont="1" applyFill="1" applyBorder="1" applyAlignment="1">
      <alignment horizontal="center" vertical="center" wrapText="1"/>
      <protection/>
    </xf>
    <xf numFmtId="10" fontId="6" fillId="33" borderId="35" xfId="80" applyNumberFormat="1" applyFont="1" applyFill="1" applyBorder="1" applyAlignment="1">
      <alignment horizontal="center" vertical="center"/>
      <protection/>
    </xf>
    <xf numFmtId="10" fontId="6" fillId="33" borderId="28" xfId="80" applyNumberFormat="1" applyFont="1" applyFill="1" applyBorder="1" applyAlignment="1">
      <alignment horizontal="center" vertical="center"/>
      <protection/>
    </xf>
    <xf numFmtId="10" fontId="6" fillId="33" borderId="30" xfId="80" applyNumberFormat="1" applyFont="1" applyFill="1" applyBorder="1" applyAlignment="1">
      <alignment horizontal="center" vertical="center"/>
      <protection/>
    </xf>
    <xf numFmtId="0" fontId="29" fillId="0" borderId="0" xfId="47" applyFont="1" applyFill="1" applyBorder="1" applyAlignment="1">
      <alignment vertical="center"/>
      <protection/>
    </xf>
    <xf numFmtId="0" fontId="30" fillId="0" borderId="0" xfId="47" applyFont="1" applyFill="1" applyBorder="1" applyAlignment="1">
      <alignment vertical="center"/>
      <protection/>
    </xf>
    <xf numFmtId="168" fontId="7" fillId="0" borderId="0" xfId="47" applyNumberFormat="1" applyFont="1" applyFill="1" applyBorder="1" applyAlignment="1">
      <alignment horizontal="center" vertical="center" wrapText="1"/>
      <protection/>
    </xf>
    <xf numFmtId="0" fontId="9" fillId="0" borderId="0" xfId="47" applyAlignment="1">
      <alignment vertical="center"/>
      <protection/>
    </xf>
    <xf numFmtId="0" fontId="9" fillId="0" borderId="0" xfId="47" applyFill="1" applyAlignment="1">
      <alignment vertical="center"/>
      <protection/>
    </xf>
    <xf numFmtId="168" fontId="31" fillId="0" borderId="0" xfId="47" applyNumberFormat="1" applyFont="1" applyAlignment="1">
      <alignment horizontal="right" vertical="center"/>
      <protection/>
    </xf>
    <xf numFmtId="0" fontId="31" fillId="0" borderId="0" xfId="47" applyFont="1" applyFill="1" applyBorder="1" applyAlignment="1">
      <alignment vertical="center"/>
      <protection/>
    </xf>
    <xf numFmtId="168" fontId="9" fillId="0" borderId="0" xfId="47" applyNumberFormat="1" applyAlignment="1">
      <alignment horizontal="center" vertical="center"/>
      <protection/>
    </xf>
    <xf numFmtId="3" fontId="9" fillId="0" borderId="0" xfId="47" applyNumberFormat="1" applyAlignment="1">
      <alignment vertical="center"/>
      <protection/>
    </xf>
    <xf numFmtId="0" fontId="9" fillId="0" borderId="0" xfId="47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1" fontId="27" fillId="0" borderId="0" xfId="47" applyNumberFormat="1" applyFont="1" applyAlignment="1">
      <alignment horizontal="center" vertical="center"/>
      <protection/>
    </xf>
    <xf numFmtId="168" fontId="31" fillId="0" borderId="0" xfId="47" applyNumberFormat="1" applyFont="1" applyAlignment="1">
      <alignment vertical="center" wrapText="1"/>
      <protection/>
    </xf>
    <xf numFmtId="0" fontId="0" fillId="0" borderId="0" xfId="74" applyFill="1" applyAlignment="1">
      <alignment vertical="center"/>
      <protection/>
    </xf>
    <xf numFmtId="0" fontId="27" fillId="0" borderId="94" xfId="47" applyFont="1" applyFill="1" applyBorder="1" applyAlignment="1">
      <alignment horizontal="center" vertical="center" wrapText="1"/>
      <protection/>
    </xf>
    <xf numFmtId="168" fontId="27" fillId="0" borderId="95" xfId="47" applyNumberFormat="1" applyFont="1" applyFill="1" applyBorder="1" applyAlignment="1">
      <alignment horizontal="center" vertical="center" wrapText="1"/>
      <protection/>
    </xf>
    <xf numFmtId="168" fontId="9" fillId="0" borderId="96" xfId="47" applyNumberFormat="1" applyFill="1" applyBorder="1" applyAlignment="1">
      <alignment horizontal="center" vertical="center" wrapText="1"/>
      <protection/>
    </xf>
    <xf numFmtId="0" fontId="9" fillId="0" borderId="97" xfId="47" applyFill="1" applyBorder="1" applyAlignment="1">
      <alignment horizontal="center" vertical="center" wrapText="1"/>
      <protection/>
    </xf>
    <xf numFmtId="0" fontId="9" fillId="0" borderId="98" xfId="47" applyFill="1" applyBorder="1" applyAlignment="1">
      <alignment horizontal="center" vertical="center" wrapText="1"/>
      <protection/>
    </xf>
    <xf numFmtId="0" fontId="9" fillId="0" borderId="94" xfId="47" applyFill="1" applyBorder="1" applyAlignment="1">
      <alignment horizontal="center" vertical="center" wrapText="1"/>
      <protection/>
    </xf>
    <xf numFmtId="0" fontId="9" fillId="0" borderId="99" xfId="47" applyFill="1" applyBorder="1" applyAlignment="1">
      <alignment horizontal="center" vertical="center" wrapText="1"/>
      <protection/>
    </xf>
    <xf numFmtId="168" fontId="27" fillId="0" borderId="94" xfId="47" applyNumberFormat="1" applyFont="1" applyFill="1" applyBorder="1" applyAlignment="1">
      <alignment horizontal="center" vertical="center" wrapText="1"/>
      <protection/>
    </xf>
    <xf numFmtId="3" fontId="9" fillId="0" borderId="94" xfId="47" applyNumberFormat="1" applyFill="1" applyBorder="1" applyAlignment="1">
      <alignment horizontal="center" vertical="center" wrapText="1"/>
      <protection/>
    </xf>
    <xf numFmtId="0" fontId="9" fillId="0" borderId="100" xfId="47" applyFill="1" applyBorder="1" applyAlignment="1">
      <alignment horizontal="center" vertical="center" wrapText="1"/>
      <protection/>
    </xf>
    <xf numFmtId="168" fontId="27" fillId="0" borderId="98" xfId="47" applyNumberFormat="1" applyFont="1" applyFill="1" applyBorder="1" applyAlignment="1">
      <alignment horizontal="center" vertical="center" wrapText="1"/>
      <protection/>
    </xf>
    <xf numFmtId="0" fontId="9" fillId="0" borderId="101" xfId="47" applyFill="1" applyBorder="1" applyAlignment="1">
      <alignment horizontal="center" vertical="center" wrapText="1"/>
      <protection/>
    </xf>
    <xf numFmtId="0" fontId="9" fillId="0" borderId="102" xfId="47" applyFill="1" applyBorder="1" applyAlignment="1">
      <alignment horizontal="center" vertical="center" wrapText="1"/>
      <protection/>
    </xf>
    <xf numFmtId="0" fontId="9" fillId="0" borderId="0" xfId="47" applyFill="1" applyAlignment="1">
      <alignment horizontal="center" vertical="center"/>
      <protection/>
    </xf>
    <xf numFmtId="0" fontId="9" fillId="0" borderId="17" xfId="47" applyBorder="1" applyAlignment="1">
      <alignment horizontal="center" vertical="center"/>
      <protection/>
    </xf>
    <xf numFmtId="0" fontId="9" fillId="0" borderId="40" xfId="47" applyBorder="1" applyAlignment="1">
      <alignment horizontal="center" vertical="center"/>
      <protection/>
    </xf>
    <xf numFmtId="168" fontId="9" fillId="0" borderId="103" xfId="47" applyNumberFormat="1" applyBorder="1" applyAlignment="1">
      <alignment horizontal="center" vertical="center"/>
      <protection/>
    </xf>
    <xf numFmtId="0" fontId="9" fillId="0" borderId="104" xfId="47" applyBorder="1" applyAlignment="1">
      <alignment horizontal="center" vertical="center"/>
      <protection/>
    </xf>
    <xf numFmtId="0" fontId="9" fillId="0" borderId="105" xfId="47" applyBorder="1" applyAlignment="1">
      <alignment horizontal="center" vertical="center"/>
      <protection/>
    </xf>
    <xf numFmtId="0" fontId="9" fillId="0" borderId="55" xfId="47" applyBorder="1" applyAlignment="1">
      <alignment horizontal="center" vertical="center"/>
      <protection/>
    </xf>
    <xf numFmtId="3" fontId="9" fillId="0" borderId="17" xfId="47" applyNumberFormat="1" applyBorder="1" applyAlignment="1">
      <alignment horizontal="center" vertical="center"/>
      <protection/>
    </xf>
    <xf numFmtId="0" fontId="9" fillId="0" borderId="43" xfId="47" applyBorder="1" applyAlignment="1">
      <alignment horizontal="center" vertical="center"/>
      <protection/>
    </xf>
    <xf numFmtId="0" fontId="9" fillId="0" borderId="106" xfId="47" applyBorder="1" applyAlignment="1">
      <alignment horizontal="center" vertical="center"/>
      <protection/>
    </xf>
    <xf numFmtId="0" fontId="9" fillId="0" borderId="107" xfId="47" applyBorder="1" applyAlignment="1">
      <alignment horizontal="center" vertical="center"/>
      <protection/>
    </xf>
    <xf numFmtId="0" fontId="9" fillId="0" borderId="17" xfId="47" applyBorder="1" applyAlignment="1">
      <alignment vertical="center"/>
      <protection/>
    </xf>
    <xf numFmtId="0" fontId="9" fillId="0" borderId="40" xfId="47" applyBorder="1" applyAlignment="1">
      <alignment vertical="center"/>
      <protection/>
    </xf>
    <xf numFmtId="0" fontId="9" fillId="0" borderId="104" xfId="47" applyBorder="1" applyAlignment="1">
      <alignment vertical="center"/>
      <protection/>
    </xf>
    <xf numFmtId="0" fontId="9" fillId="0" borderId="105" xfId="47" applyBorder="1" applyAlignment="1">
      <alignment vertical="center"/>
      <protection/>
    </xf>
    <xf numFmtId="0" fontId="9" fillId="0" borderId="55" xfId="47" applyBorder="1" applyAlignment="1">
      <alignment vertical="center"/>
      <protection/>
    </xf>
    <xf numFmtId="3" fontId="9" fillId="0" borderId="17" xfId="47" applyNumberFormat="1" applyBorder="1" applyAlignment="1">
      <alignment vertical="center"/>
      <protection/>
    </xf>
    <xf numFmtId="0" fontId="9" fillId="0" borderId="43" xfId="47" applyBorder="1" applyAlignment="1">
      <alignment vertical="center"/>
      <protection/>
    </xf>
    <xf numFmtId="0" fontId="9" fillId="0" borderId="106" xfId="47" applyBorder="1" applyAlignment="1">
      <alignment vertical="center"/>
      <protection/>
    </xf>
    <xf numFmtId="0" fontId="9" fillId="0" borderId="107" xfId="47" applyBorder="1" applyAlignment="1">
      <alignment vertical="center"/>
      <protection/>
    </xf>
    <xf numFmtId="0" fontId="9" fillId="0" borderId="17" xfId="47" applyFill="1" applyBorder="1" applyAlignment="1">
      <alignment vertical="center"/>
      <protection/>
    </xf>
    <xf numFmtId="0" fontId="9" fillId="0" borderId="40" xfId="47" applyFill="1" applyBorder="1" applyAlignment="1">
      <alignment vertical="center"/>
      <protection/>
    </xf>
    <xf numFmtId="168" fontId="9" fillId="0" borderId="103" xfId="47" applyNumberFormat="1" applyBorder="1" applyAlignment="1">
      <alignment vertical="center"/>
      <protection/>
    </xf>
    <xf numFmtId="168" fontId="9" fillId="0" borderId="104" xfId="47" applyNumberFormat="1" applyBorder="1" applyAlignment="1">
      <alignment vertical="center"/>
      <protection/>
    </xf>
    <xf numFmtId="168" fontId="9" fillId="0" borderId="105" xfId="47" applyNumberFormat="1" applyBorder="1" applyAlignment="1">
      <alignment vertical="center"/>
      <protection/>
    </xf>
    <xf numFmtId="3" fontId="9" fillId="0" borderId="55" xfId="47" applyNumberFormat="1" applyBorder="1" applyAlignment="1">
      <alignment vertical="center"/>
      <protection/>
    </xf>
    <xf numFmtId="169" fontId="9" fillId="0" borderId="17" xfId="47" applyNumberFormat="1" applyBorder="1" applyAlignment="1">
      <alignment vertical="center"/>
      <protection/>
    </xf>
    <xf numFmtId="168" fontId="9" fillId="0" borderId="17" xfId="47" applyNumberFormat="1" applyBorder="1" applyAlignment="1">
      <alignment vertical="center"/>
      <protection/>
    </xf>
    <xf numFmtId="168" fontId="9" fillId="0" borderId="43" xfId="47" applyNumberFormat="1" applyBorder="1" applyAlignment="1">
      <alignment vertical="center"/>
      <protection/>
    </xf>
    <xf numFmtId="3" fontId="9" fillId="0" borderId="106" xfId="47" applyNumberFormat="1" applyFill="1" applyBorder="1" applyAlignment="1">
      <alignment vertical="center"/>
      <protection/>
    </xf>
    <xf numFmtId="3" fontId="9" fillId="0" borderId="107" xfId="47" applyNumberFormat="1" applyFill="1" applyBorder="1" applyAlignment="1">
      <alignment vertical="center"/>
      <protection/>
    </xf>
    <xf numFmtId="169" fontId="9" fillId="0" borderId="0" xfId="47" applyNumberFormat="1" applyAlignment="1">
      <alignment vertical="center"/>
      <protection/>
    </xf>
    <xf numFmtId="0" fontId="32" fillId="0" borderId="47" xfId="47" applyFont="1" applyFill="1" applyBorder="1" applyAlignment="1">
      <alignment vertical="center"/>
      <protection/>
    </xf>
    <xf numFmtId="0" fontId="9" fillId="0" borderId="45" xfId="47" applyFont="1" applyFill="1" applyBorder="1" applyAlignment="1">
      <alignment vertical="center"/>
      <protection/>
    </xf>
    <xf numFmtId="168" fontId="9" fillId="0" borderId="103" xfId="47" applyNumberFormat="1" applyFill="1" applyBorder="1" applyAlignment="1">
      <alignment vertical="center"/>
      <protection/>
    </xf>
    <xf numFmtId="168" fontId="9" fillId="0" borderId="104" xfId="47" applyNumberFormat="1" applyFill="1" applyBorder="1" applyAlignment="1">
      <alignment vertical="center"/>
      <protection/>
    </xf>
    <xf numFmtId="4" fontId="9" fillId="0" borderId="17" xfId="47" applyNumberFormat="1" applyBorder="1" applyAlignment="1">
      <alignment vertical="center"/>
      <protection/>
    </xf>
    <xf numFmtId="169" fontId="9" fillId="0" borderId="17" xfId="47" applyNumberFormat="1" applyFill="1" applyBorder="1" applyAlignment="1">
      <alignment vertical="center"/>
      <protection/>
    </xf>
    <xf numFmtId="4" fontId="9" fillId="0" borderId="105" xfId="47" applyNumberFormat="1" applyBorder="1" applyAlignment="1">
      <alignment vertical="center"/>
      <protection/>
    </xf>
    <xf numFmtId="0" fontId="0" fillId="0" borderId="0" xfId="74" applyAlignment="1">
      <alignment vertical="center"/>
      <protection/>
    </xf>
    <xf numFmtId="0" fontId="9" fillId="0" borderId="47" xfId="47" applyFill="1" applyBorder="1" applyAlignment="1">
      <alignment vertical="center"/>
      <protection/>
    </xf>
    <xf numFmtId="0" fontId="9" fillId="0" borderId="45" xfId="47" applyFill="1" applyBorder="1" applyAlignment="1">
      <alignment vertical="center"/>
      <protection/>
    </xf>
    <xf numFmtId="0" fontId="27" fillId="34" borderId="10" xfId="47" applyFont="1" applyFill="1" applyBorder="1" applyAlignment="1">
      <alignment vertical="center"/>
      <protection/>
    </xf>
    <xf numFmtId="0" fontId="27" fillId="34" borderId="11" xfId="47" applyFont="1" applyFill="1" applyBorder="1" applyAlignment="1">
      <alignment vertical="center"/>
      <protection/>
    </xf>
    <xf numFmtId="168" fontId="9" fillId="34" borderId="108" xfId="47" applyNumberFormat="1" applyFill="1" applyBorder="1" applyAlignment="1">
      <alignment vertical="center"/>
      <protection/>
    </xf>
    <xf numFmtId="168" fontId="9" fillId="34" borderId="109" xfId="47" applyNumberFormat="1" applyFill="1" applyBorder="1" applyAlignment="1">
      <alignment vertical="center"/>
      <protection/>
    </xf>
    <xf numFmtId="3" fontId="9" fillId="34" borderId="10" xfId="47" applyNumberFormat="1" applyFill="1" applyBorder="1" applyAlignment="1">
      <alignment vertical="center"/>
      <protection/>
    </xf>
    <xf numFmtId="3" fontId="9" fillId="34" borderId="58" xfId="47" applyNumberFormat="1" applyFill="1" applyBorder="1" applyAlignment="1">
      <alignment vertical="center"/>
      <protection/>
    </xf>
    <xf numFmtId="3" fontId="9" fillId="34" borderId="110" xfId="47" applyNumberFormat="1" applyFill="1" applyBorder="1" applyAlignment="1">
      <alignment vertical="center"/>
      <protection/>
    </xf>
    <xf numFmtId="3" fontId="9" fillId="34" borderId="111" xfId="47" applyNumberFormat="1" applyFill="1" applyBorder="1" applyAlignment="1">
      <alignment vertical="center"/>
      <protection/>
    </xf>
    <xf numFmtId="3" fontId="9" fillId="34" borderId="112" xfId="47" applyNumberFormat="1" applyFill="1" applyBorder="1" applyAlignment="1">
      <alignment vertical="center"/>
      <protection/>
    </xf>
    <xf numFmtId="3" fontId="9" fillId="34" borderId="113" xfId="47" applyNumberFormat="1" applyFill="1" applyBorder="1" applyAlignment="1">
      <alignment vertical="center"/>
      <protection/>
    </xf>
    <xf numFmtId="0" fontId="9" fillId="0" borderId="15" xfId="47" applyBorder="1" applyAlignment="1">
      <alignment vertical="center"/>
      <protection/>
    </xf>
    <xf numFmtId="4" fontId="9" fillId="0" borderId="17" xfId="47" applyNumberFormat="1" applyFill="1" applyBorder="1" applyAlignment="1">
      <alignment vertical="center"/>
      <protection/>
    </xf>
    <xf numFmtId="0" fontId="9" fillId="0" borderId="47" xfId="47" applyBorder="1" applyAlignment="1">
      <alignment vertical="center"/>
      <protection/>
    </xf>
    <xf numFmtId="0" fontId="9" fillId="0" borderId="15" xfId="47" applyFill="1" applyBorder="1" applyAlignment="1">
      <alignment vertical="center"/>
      <protection/>
    </xf>
    <xf numFmtId="0" fontId="9" fillId="0" borderId="13" xfId="47" applyFill="1" applyBorder="1" applyAlignment="1">
      <alignment vertical="center"/>
      <protection/>
    </xf>
    <xf numFmtId="0" fontId="32" fillId="0" borderId="17" xfId="47" applyFont="1" applyFill="1" applyBorder="1" applyAlignment="1">
      <alignment vertical="center"/>
      <protection/>
    </xf>
    <xf numFmtId="0" fontId="9" fillId="0" borderId="15" xfId="47" applyFont="1" applyFill="1" applyBorder="1" applyAlignment="1">
      <alignment vertical="center"/>
      <protection/>
    </xf>
    <xf numFmtId="0" fontId="9" fillId="0" borderId="17" xfId="47" applyFont="1" applyFill="1" applyBorder="1" applyAlignment="1">
      <alignment vertical="center"/>
      <protection/>
    </xf>
    <xf numFmtId="0" fontId="9" fillId="0" borderId="47" xfId="47" applyFont="1" applyFill="1" applyBorder="1" applyAlignment="1">
      <alignment vertical="center"/>
      <protection/>
    </xf>
    <xf numFmtId="168" fontId="9" fillId="34" borderId="114" xfId="47" applyNumberFormat="1" applyFill="1" applyBorder="1" applyAlignment="1">
      <alignment vertical="center"/>
      <protection/>
    </xf>
    <xf numFmtId="168" fontId="9" fillId="34" borderId="115" xfId="47" applyNumberFormat="1" applyFill="1" applyBorder="1" applyAlignment="1">
      <alignment vertical="center"/>
      <protection/>
    </xf>
    <xf numFmtId="168" fontId="9" fillId="0" borderId="0" xfId="47" applyNumberFormat="1" applyAlignment="1">
      <alignment vertical="center"/>
      <protection/>
    </xf>
    <xf numFmtId="0" fontId="9" fillId="0" borderId="40" xfId="47" applyFont="1" applyFill="1" applyBorder="1" applyAlignment="1">
      <alignment vertical="center"/>
      <protection/>
    </xf>
    <xf numFmtId="0" fontId="9" fillId="0" borderId="43" xfId="47" applyFont="1" applyFill="1" applyBorder="1" applyAlignment="1">
      <alignment vertical="center"/>
      <protection/>
    </xf>
    <xf numFmtId="0" fontId="9" fillId="0" borderId="55" xfId="47" applyFont="1" applyFill="1" applyBorder="1" applyAlignment="1">
      <alignment vertical="center"/>
      <protection/>
    </xf>
    <xf numFmtId="3" fontId="9" fillId="0" borderId="17" xfId="47" applyNumberFormat="1" applyFont="1" applyFill="1" applyBorder="1" applyAlignment="1">
      <alignment vertical="center"/>
      <protection/>
    </xf>
    <xf numFmtId="0" fontId="9" fillId="35" borderId="40" xfId="47" applyFill="1" applyBorder="1" applyAlignment="1">
      <alignment vertical="center"/>
      <protection/>
    </xf>
    <xf numFmtId="0" fontId="9" fillId="35" borderId="43" xfId="47" applyFont="1" applyFill="1" applyBorder="1" applyAlignment="1">
      <alignment vertical="center"/>
      <protection/>
    </xf>
    <xf numFmtId="0" fontId="9" fillId="35" borderId="55" xfId="47" applyFont="1" applyFill="1" applyBorder="1" applyAlignment="1">
      <alignment vertical="center"/>
      <protection/>
    </xf>
    <xf numFmtId="4" fontId="9" fillId="35" borderId="17" xfId="47" applyNumberFormat="1" applyFill="1" applyBorder="1" applyAlignment="1">
      <alignment vertical="center"/>
      <protection/>
    </xf>
    <xf numFmtId="0" fontId="33" fillId="0" borderId="0" xfId="47" applyFont="1" applyAlignment="1">
      <alignment vertical="center"/>
      <protection/>
    </xf>
    <xf numFmtId="0" fontId="9" fillId="0" borderId="0" xfId="47">
      <alignment/>
      <protection/>
    </xf>
    <xf numFmtId="0" fontId="7" fillId="0" borderId="0" xfId="47" applyFont="1" applyAlignment="1">
      <alignment vertical="center"/>
      <protection/>
    </xf>
    <xf numFmtId="0" fontId="9" fillId="0" borderId="116" xfId="47" applyFill="1" applyBorder="1" applyAlignment="1">
      <alignment vertical="center"/>
      <protection/>
    </xf>
    <xf numFmtId="0" fontId="9" fillId="0" borderId="95" xfId="47" applyFill="1" applyBorder="1" applyAlignment="1">
      <alignment vertical="center"/>
      <protection/>
    </xf>
    <xf numFmtId="168" fontId="9" fillId="0" borderId="96" xfId="47" applyNumberFormat="1" applyBorder="1" applyAlignment="1">
      <alignment vertical="center"/>
      <protection/>
    </xf>
    <xf numFmtId="3" fontId="9" fillId="0" borderId="94" xfId="47" applyNumberFormat="1" applyBorder="1" applyAlignment="1">
      <alignment vertical="center"/>
      <protection/>
    </xf>
    <xf numFmtId="3" fontId="9" fillId="0" borderId="99" xfId="47" applyNumberFormat="1" applyBorder="1" applyAlignment="1">
      <alignment vertical="center"/>
      <protection/>
    </xf>
    <xf numFmtId="169" fontId="9" fillId="0" borderId="94" xfId="47" applyNumberFormat="1" applyBorder="1" applyAlignment="1">
      <alignment vertical="center"/>
      <protection/>
    </xf>
    <xf numFmtId="168" fontId="9" fillId="0" borderId="94" xfId="47" applyNumberFormat="1" applyBorder="1" applyAlignment="1">
      <alignment vertical="center"/>
      <protection/>
    </xf>
    <xf numFmtId="168" fontId="9" fillId="0" borderId="117" xfId="47" applyNumberFormat="1" applyBorder="1" applyAlignment="1">
      <alignment vertical="center"/>
      <protection/>
    </xf>
    <xf numFmtId="3" fontId="9" fillId="0" borderId="102" xfId="47" applyNumberFormat="1" applyFill="1" applyBorder="1" applyAlignment="1">
      <alignment vertical="center"/>
      <protection/>
    </xf>
    <xf numFmtId="0" fontId="9" fillId="0" borderId="118" xfId="47" applyFill="1" applyBorder="1" applyAlignment="1">
      <alignment vertical="center"/>
      <protection/>
    </xf>
    <xf numFmtId="0" fontId="32" fillId="0" borderId="119" xfId="47" applyFont="1" applyFill="1" applyBorder="1" applyAlignment="1">
      <alignment vertical="center"/>
      <protection/>
    </xf>
    <xf numFmtId="0" fontId="9" fillId="0" borderId="119" xfId="47" applyFill="1" applyBorder="1" applyAlignment="1">
      <alignment vertical="center"/>
      <protection/>
    </xf>
    <xf numFmtId="0" fontId="27" fillId="34" borderId="120" xfId="47" applyFont="1" applyFill="1" applyBorder="1" applyAlignment="1">
      <alignment vertical="center"/>
      <protection/>
    </xf>
    <xf numFmtId="169" fontId="9" fillId="34" borderId="10" xfId="47" applyNumberFormat="1" applyFill="1" applyBorder="1" applyAlignment="1">
      <alignment vertical="center"/>
      <protection/>
    </xf>
    <xf numFmtId="0" fontId="9" fillId="0" borderId="121" xfId="47" applyFill="1" applyBorder="1" applyAlignment="1">
      <alignment vertical="center"/>
      <protection/>
    </xf>
    <xf numFmtId="10" fontId="9" fillId="0" borderId="0" xfId="47" applyNumberFormat="1" applyAlignment="1">
      <alignment vertical="center"/>
      <protection/>
    </xf>
    <xf numFmtId="3" fontId="9" fillId="0" borderId="0" xfId="47" applyNumberFormat="1" applyFont="1" applyAlignment="1">
      <alignment horizontal="center" vertical="center"/>
      <protection/>
    </xf>
    <xf numFmtId="0" fontId="9" fillId="0" borderId="0" xfId="47" applyFont="1" applyAlignment="1">
      <alignment vertical="center"/>
      <protection/>
    </xf>
    <xf numFmtId="0" fontId="34" fillId="0" borderId="0" xfId="47" applyFont="1" applyAlignment="1">
      <alignment vertical="center"/>
      <protection/>
    </xf>
    <xf numFmtId="1" fontId="9" fillId="0" borderId="0" xfId="47" applyNumberFormat="1" applyAlignment="1">
      <alignment vertical="center"/>
      <protection/>
    </xf>
    <xf numFmtId="3" fontId="27" fillId="0" borderId="0" xfId="47" applyNumberFormat="1" applyFont="1" applyFill="1" applyAlignment="1">
      <alignment vertical="center"/>
      <protection/>
    </xf>
    <xf numFmtId="0" fontId="27" fillId="36" borderId="37" xfId="47" applyFont="1" applyFill="1" applyBorder="1" applyAlignment="1">
      <alignment vertical="center" wrapText="1"/>
      <protection/>
    </xf>
    <xf numFmtId="2" fontId="27" fillId="36" borderId="37" xfId="47" applyNumberFormat="1" applyFont="1" applyFill="1" applyBorder="1" applyAlignment="1">
      <alignment vertical="center" wrapText="1"/>
      <protection/>
    </xf>
    <xf numFmtId="3" fontId="27" fillId="36" borderId="37" xfId="47" applyNumberFormat="1" applyFont="1" applyFill="1" applyBorder="1" applyAlignment="1">
      <alignment vertical="center" wrapText="1"/>
      <protection/>
    </xf>
    <xf numFmtId="4" fontId="27" fillId="36" borderId="37" xfId="47" applyNumberFormat="1" applyFont="1" applyFill="1" applyBorder="1" applyAlignment="1">
      <alignment vertical="center" wrapText="1"/>
      <protection/>
    </xf>
    <xf numFmtId="0" fontId="9" fillId="0" borderId="0" xfId="47" applyAlignment="1">
      <alignment vertical="center" wrapText="1"/>
      <protection/>
    </xf>
    <xf numFmtId="0" fontId="27" fillId="0" borderId="0" xfId="47" applyFont="1" applyFill="1" applyBorder="1" applyAlignment="1">
      <alignment vertical="center"/>
      <protection/>
    </xf>
    <xf numFmtId="2" fontId="27" fillId="0" borderId="0" xfId="47" applyNumberFormat="1" applyFont="1" applyFill="1" applyBorder="1" applyAlignment="1">
      <alignment vertical="center"/>
      <protection/>
    </xf>
    <xf numFmtId="3" fontId="27" fillId="0" borderId="0" xfId="47" applyNumberFormat="1" applyFont="1" applyFill="1" applyBorder="1" applyAlignment="1">
      <alignment vertical="center"/>
      <protection/>
    </xf>
    <xf numFmtId="4" fontId="27" fillId="0" borderId="0" xfId="47" applyNumberFormat="1" applyFont="1" applyFill="1" applyBorder="1" applyAlignment="1">
      <alignment vertical="center"/>
      <protection/>
    </xf>
    <xf numFmtId="0" fontId="27" fillId="37" borderId="0" xfId="47" applyFont="1" applyFill="1" applyAlignment="1">
      <alignment vertical="center"/>
      <protection/>
    </xf>
    <xf numFmtId="3" fontId="27" fillId="37" borderId="0" xfId="47" applyNumberFormat="1" applyFont="1" applyFill="1" applyAlignment="1">
      <alignment vertical="center"/>
      <protection/>
    </xf>
    <xf numFmtId="2" fontId="27" fillId="37" borderId="0" xfId="47" applyNumberFormat="1" applyFont="1" applyFill="1" applyAlignment="1">
      <alignment vertical="center"/>
      <protection/>
    </xf>
    <xf numFmtId="4" fontId="27" fillId="37" borderId="0" xfId="47" applyNumberFormat="1" applyFont="1" applyFill="1" applyAlignment="1">
      <alignment vertical="center"/>
      <protection/>
    </xf>
    <xf numFmtId="0" fontId="27" fillId="37" borderId="40" xfId="47" applyFont="1" applyFill="1" applyBorder="1" applyAlignment="1">
      <alignment vertical="center"/>
      <protection/>
    </xf>
    <xf numFmtId="0" fontId="27" fillId="37" borderId="43" xfId="47" applyFont="1" applyFill="1" applyBorder="1" applyAlignment="1">
      <alignment vertical="center"/>
      <protection/>
    </xf>
    <xf numFmtId="2" fontId="27" fillId="37" borderId="43" xfId="47" applyNumberFormat="1" applyFont="1" applyFill="1" applyBorder="1" applyAlignment="1">
      <alignment vertical="center"/>
      <protection/>
    </xf>
    <xf numFmtId="3" fontId="27" fillId="37" borderId="43" xfId="47" applyNumberFormat="1" applyFont="1" applyFill="1" applyBorder="1" applyAlignment="1">
      <alignment vertical="center"/>
      <protection/>
    </xf>
    <xf numFmtId="4" fontId="27" fillId="37" borderId="43" xfId="47" applyNumberFormat="1" applyFont="1" applyFill="1" applyBorder="1" applyAlignment="1">
      <alignment vertical="center"/>
      <protection/>
    </xf>
    <xf numFmtId="4" fontId="27" fillId="37" borderId="55" xfId="47" applyNumberFormat="1" applyFont="1" applyFill="1" applyBorder="1" applyAlignment="1">
      <alignment vertical="center"/>
      <protection/>
    </xf>
    <xf numFmtId="0" fontId="9" fillId="0" borderId="43" xfId="47" applyFill="1" applyBorder="1" applyAlignment="1">
      <alignment vertical="center"/>
      <protection/>
    </xf>
    <xf numFmtId="0" fontId="9" fillId="0" borderId="46" xfId="47" applyFill="1" applyBorder="1" applyAlignment="1">
      <alignment vertical="center"/>
      <protection/>
    </xf>
    <xf numFmtId="2" fontId="9" fillId="0" borderId="17" xfId="47" applyNumberFormat="1" applyFont="1" applyFill="1" applyBorder="1" applyAlignment="1">
      <alignment horizontal="right" vertical="center"/>
      <protection/>
    </xf>
    <xf numFmtId="0" fontId="29" fillId="0" borderId="122" xfId="47" applyFont="1" applyFill="1" applyBorder="1" applyAlignment="1">
      <alignment vertical="center"/>
      <protection/>
    </xf>
    <xf numFmtId="0" fontId="9" fillId="0" borderId="41" xfId="47" applyFill="1" applyBorder="1" applyAlignment="1">
      <alignment vertical="center"/>
      <protection/>
    </xf>
    <xf numFmtId="168" fontId="9" fillId="0" borderId="41" xfId="47" applyNumberFormat="1" applyFill="1" applyBorder="1" applyAlignment="1">
      <alignment vertical="center"/>
      <protection/>
    </xf>
    <xf numFmtId="3" fontId="9" fillId="0" borderId="123" xfId="47" applyNumberFormat="1" applyFill="1" applyBorder="1" applyAlignment="1">
      <alignment vertical="center"/>
      <protection/>
    </xf>
    <xf numFmtId="168" fontId="9" fillId="0" borderId="17" xfId="47" applyNumberFormat="1" applyFill="1" applyBorder="1" applyAlignment="1">
      <alignment horizontal="center" vertical="center"/>
      <protection/>
    </xf>
    <xf numFmtId="0" fontId="9" fillId="0" borderId="25" xfId="47" applyFill="1" applyBorder="1" applyAlignment="1">
      <alignment vertical="center"/>
      <protection/>
    </xf>
    <xf numFmtId="168" fontId="9" fillId="0" borderId="13" xfId="47" applyNumberFormat="1" applyFill="1" applyBorder="1" applyAlignment="1">
      <alignment horizontal="center" vertical="center"/>
      <protection/>
    </xf>
    <xf numFmtId="3" fontId="9" fillId="0" borderId="35" xfId="47" applyNumberFormat="1" applyFont="1" applyFill="1" applyBorder="1" applyAlignment="1">
      <alignment vertical="center"/>
      <protection/>
    </xf>
    <xf numFmtId="0" fontId="9" fillId="0" borderId="27" xfId="47" applyFill="1" applyBorder="1" applyAlignment="1">
      <alignment vertical="center"/>
      <protection/>
    </xf>
    <xf numFmtId="168" fontId="9" fillId="0" borderId="28" xfId="47" applyNumberFormat="1" applyFont="1" applyFill="1" applyBorder="1" applyAlignment="1">
      <alignment vertical="center"/>
      <protection/>
    </xf>
    <xf numFmtId="3" fontId="9" fillId="0" borderId="28" xfId="47" applyNumberFormat="1" applyFont="1" applyFill="1" applyBorder="1" applyAlignment="1">
      <alignment vertical="center"/>
      <protection/>
    </xf>
    <xf numFmtId="3" fontId="9" fillId="0" borderId="27" xfId="47" applyNumberFormat="1" applyFill="1" applyBorder="1" applyAlignment="1">
      <alignment vertical="center"/>
      <protection/>
    </xf>
    <xf numFmtId="10" fontId="9" fillId="0" borderId="28" xfId="47" applyNumberFormat="1" applyFont="1" applyFill="1" applyBorder="1" applyAlignment="1">
      <alignment vertical="center"/>
      <protection/>
    </xf>
    <xf numFmtId="0" fontId="9" fillId="0" borderId="28" xfId="47" applyFont="1" applyFill="1" applyBorder="1" applyAlignment="1">
      <alignment vertical="center"/>
      <protection/>
    </xf>
    <xf numFmtId="0" fontId="9" fillId="0" borderId="29" xfId="47" applyFill="1" applyBorder="1" applyAlignment="1">
      <alignment vertical="center"/>
      <protection/>
    </xf>
    <xf numFmtId="0" fontId="9" fillId="0" borderId="18" xfId="47" applyFill="1" applyBorder="1" applyAlignment="1">
      <alignment vertical="center"/>
      <protection/>
    </xf>
    <xf numFmtId="168" fontId="9" fillId="0" borderId="18" xfId="47" applyNumberFormat="1" applyFill="1" applyBorder="1" applyAlignment="1">
      <alignment horizontal="center" vertical="center"/>
      <protection/>
    </xf>
    <xf numFmtId="3" fontId="9" fillId="0" borderId="33" xfId="47" applyNumberFormat="1" applyFont="1" applyFill="1" applyBorder="1" applyAlignment="1">
      <alignment vertical="center"/>
      <protection/>
    </xf>
    <xf numFmtId="0" fontId="9" fillId="0" borderId="44" xfId="47" applyFill="1" applyBorder="1" applyAlignment="1">
      <alignment vertical="center"/>
      <protection/>
    </xf>
    <xf numFmtId="168" fontId="9" fillId="0" borderId="47" xfId="47" applyNumberFormat="1" applyFill="1" applyBorder="1" applyAlignment="1">
      <alignment horizontal="center" vertical="center"/>
      <protection/>
    </xf>
    <xf numFmtId="168" fontId="9" fillId="0" borderId="55" xfId="47" applyNumberFormat="1" applyFill="1" applyBorder="1" applyAlignment="1">
      <alignment horizontal="center" vertical="center"/>
      <protection/>
    </xf>
    <xf numFmtId="0" fontId="9" fillId="0" borderId="83" xfId="47" applyFill="1" applyBorder="1" applyAlignment="1">
      <alignment vertical="center"/>
      <protection/>
    </xf>
    <xf numFmtId="0" fontId="27" fillId="38" borderId="118" xfId="47" applyFont="1" applyFill="1" applyBorder="1" applyAlignment="1">
      <alignment vertical="center"/>
      <protection/>
    </xf>
    <xf numFmtId="0" fontId="27" fillId="38" borderId="40" xfId="47" applyFont="1" applyFill="1" applyBorder="1" applyAlignment="1">
      <alignment vertical="center"/>
      <protection/>
    </xf>
    <xf numFmtId="168" fontId="9" fillId="38" borderId="103" xfId="47" applyNumberFormat="1" applyFill="1" applyBorder="1" applyAlignment="1">
      <alignment vertical="center"/>
      <protection/>
    </xf>
    <xf numFmtId="0" fontId="27" fillId="38" borderId="124" xfId="47" applyFont="1" applyFill="1" applyBorder="1" applyAlignment="1">
      <alignment vertical="center"/>
      <protection/>
    </xf>
    <xf numFmtId="0" fontId="27" fillId="38" borderId="125" xfId="47" applyFont="1" applyFill="1" applyBorder="1" applyAlignment="1">
      <alignment vertical="center"/>
      <protection/>
    </xf>
    <xf numFmtId="168" fontId="9" fillId="38" borderId="126" xfId="47" applyNumberFormat="1" applyFill="1" applyBorder="1" applyAlignment="1">
      <alignment vertical="center"/>
      <protection/>
    </xf>
    <xf numFmtId="168" fontId="9" fillId="38" borderId="127" xfId="47" applyNumberFormat="1" applyFill="1" applyBorder="1" applyAlignment="1">
      <alignment vertical="center"/>
      <protection/>
    </xf>
    <xf numFmtId="168" fontId="9" fillId="38" borderId="128" xfId="47" applyNumberFormat="1" applyFill="1" applyBorder="1" applyAlignment="1">
      <alignment vertical="center"/>
      <protection/>
    </xf>
    <xf numFmtId="168" fontId="9" fillId="38" borderId="129" xfId="47" applyNumberFormat="1" applyFill="1" applyBorder="1" applyAlignment="1">
      <alignment vertical="center"/>
      <protection/>
    </xf>
    <xf numFmtId="168" fontId="9" fillId="38" borderId="130" xfId="47" applyNumberFormat="1" applyFill="1" applyBorder="1" applyAlignment="1">
      <alignment vertical="center"/>
      <protection/>
    </xf>
    <xf numFmtId="168" fontId="9" fillId="38" borderId="131" xfId="47" applyNumberFormat="1" applyFill="1" applyBorder="1" applyAlignment="1">
      <alignment vertical="center"/>
      <protection/>
    </xf>
    <xf numFmtId="168" fontId="9" fillId="38" borderId="132" xfId="47" applyNumberFormat="1" applyFill="1" applyBorder="1" applyAlignment="1">
      <alignment vertical="center"/>
      <protection/>
    </xf>
    <xf numFmtId="0" fontId="27" fillId="38" borderId="121" xfId="47" applyFont="1" applyFill="1" applyBorder="1" applyAlignment="1">
      <alignment vertical="center"/>
      <protection/>
    </xf>
    <xf numFmtId="0" fontId="27" fillId="38" borderId="16" xfId="47" applyFont="1" applyFill="1" applyBorder="1" applyAlignment="1">
      <alignment vertical="center"/>
      <protection/>
    </xf>
    <xf numFmtId="168" fontId="9" fillId="38" borderId="133" xfId="47" applyNumberFormat="1" applyFill="1" applyBorder="1" applyAlignment="1">
      <alignment vertical="center"/>
      <protection/>
    </xf>
    <xf numFmtId="168" fontId="9" fillId="38" borderId="134" xfId="47" applyNumberFormat="1" applyFill="1" applyBorder="1" applyAlignment="1">
      <alignment vertical="center"/>
      <protection/>
    </xf>
    <xf numFmtId="168" fontId="9" fillId="38" borderId="135" xfId="47" applyNumberFormat="1" applyFill="1" applyBorder="1" applyAlignment="1">
      <alignment vertical="center"/>
      <protection/>
    </xf>
    <xf numFmtId="168" fontId="9" fillId="38" borderId="136" xfId="47" applyNumberFormat="1" applyFill="1" applyBorder="1" applyAlignment="1">
      <alignment vertical="center"/>
      <protection/>
    </xf>
    <xf numFmtId="168" fontId="9" fillId="38" borderId="37" xfId="47" applyNumberFormat="1" applyFill="1" applyBorder="1" applyAlignment="1">
      <alignment vertical="center"/>
      <protection/>
    </xf>
    <xf numFmtId="168" fontId="9" fillId="38" borderId="43" xfId="47" applyNumberFormat="1" applyFill="1" applyBorder="1" applyAlignment="1">
      <alignment vertical="center"/>
      <protection/>
    </xf>
    <xf numFmtId="168" fontId="9" fillId="38" borderId="137" xfId="47" applyNumberFormat="1" applyFill="1" applyBorder="1" applyAlignment="1">
      <alignment vertical="center"/>
      <protection/>
    </xf>
    <xf numFmtId="168" fontId="9" fillId="38" borderId="13" xfId="47" applyNumberFormat="1" applyFill="1" applyBorder="1" applyAlignment="1">
      <alignment vertical="center"/>
      <protection/>
    </xf>
    <xf numFmtId="168" fontId="9" fillId="38" borderId="17" xfId="47" applyNumberFormat="1" applyFill="1" applyBorder="1" applyAlignment="1">
      <alignment vertical="center"/>
      <protection/>
    </xf>
    <xf numFmtId="168" fontId="9" fillId="38" borderId="138" xfId="47" applyNumberFormat="1" applyFill="1" applyBorder="1" applyAlignment="1">
      <alignment vertical="center"/>
      <protection/>
    </xf>
    <xf numFmtId="168" fontId="9" fillId="38" borderId="139" xfId="47" applyNumberFormat="1" applyFill="1" applyBorder="1" applyAlignment="1">
      <alignment vertical="center"/>
      <protection/>
    </xf>
    <xf numFmtId="168" fontId="9" fillId="38" borderId="140" xfId="47" applyNumberFormat="1" applyFill="1" applyBorder="1" applyAlignment="1">
      <alignment vertical="center"/>
      <protection/>
    </xf>
    <xf numFmtId="168" fontId="9" fillId="38" borderId="141" xfId="47" applyNumberFormat="1" applyFill="1" applyBorder="1" applyAlignment="1">
      <alignment vertical="center"/>
      <protection/>
    </xf>
    <xf numFmtId="168" fontId="9" fillId="0" borderId="142" xfId="47" applyNumberFormat="1" applyBorder="1" applyAlignment="1">
      <alignment vertical="center"/>
      <protection/>
    </xf>
    <xf numFmtId="168" fontId="9" fillId="0" borderId="127" xfId="47" applyNumberFormat="1" applyBorder="1" applyAlignment="1">
      <alignment vertical="center"/>
      <protection/>
    </xf>
    <xf numFmtId="168" fontId="9" fillId="0" borderId="127" xfId="47" applyNumberFormat="1" applyFill="1" applyBorder="1" applyAlignment="1">
      <alignment vertical="center"/>
      <protection/>
    </xf>
    <xf numFmtId="4" fontId="9" fillId="0" borderId="55" xfId="47" applyNumberFormat="1" applyFill="1" applyBorder="1" applyAlignment="1">
      <alignment vertical="center"/>
      <protection/>
    </xf>
    <xf numFmtId="168" fontId="9" fillId="0" borderId="143" xfId="47" applyNumberFormat="1" applyBorder="1" applyAlignment="1">
      <alignment vertical="center"/>
      <protection/>
    </xf>
    <xf numFmtId="168" fontId="9" fillId="0" borderId="131" xfId="47" applyNumberFormat="1" applyBorder="1" applyAlignment="1">
      <alignment vertical="center"/>
      <protection/>
    </xf>
    <xf numFmtId="168" fontId="9" fillId="0" borderId="131" xfId="47" applyNumberFormat="1" applyFill="1" applyBorder="1" applyAlignment="1">
      <alignment vertical="center"/>
      <protection/>
    </xf>
    <xf numFmtId="168" fontId="9" fillId="38" borderId="144" xfId="47" applyNumberFormat="1" applyFill="1" applyBorder="1" applyAlignment="1">
      <alignment vertical="center"/>
      <protection/>
    </xf>
    <xf numFmtId="3" fontId="9" fillId="34" borderId="11" xfId="47" applyNumberFormat="1" applyFill="1" applyBorder="1" applyAlignment="1">
      <alignment vertical="center"/>
      <protection/>
    </xf>
    <xf numFmtId="3" fontId="9" fillId="0" borderId="99" xfId="47" applyNumberFormat="1" applyFill="1" applyBorder="1" applyAlignment="1">
      <alignment vertical="center"/>
      <protection/>
    </xf>
    <xf numFmtId="3" fontId="9" fillId="0" borderId="55" xfId="47" applyNumberFormat="1" applyFill="1" applyBorder="1" applyAlignment="1">
      <alignment vertical="center"/>
      <protection/>
    </xf>
    <xf numFmtId="168" fontId="9" fillId="38" borderId="57" xfId="47" applyNumberFormat="1" applyFill="1" applyBorder="1" applyAlignment="1">
      <alignment vertical="center"/>
      <protection/>
    </xf>
    <xf numFmtId="168" fontId="9" fillId="38" borderId="55" xfId="47" applyNumberFormat="1" applyFill="1" applyBorder="1" applyAlignment="1">
      <alignment vertical="center"/>
      <protection/>
    </xf>
    <xf numFmtId="168" fontId="9" fillId="38" borderId="145" xfId="47" applyNumberFormat="1" applyFill="1" applyBorder="1" applyAlignment="1">
      <alignment vertical="center"/>
      <protection/>
    </xf>
    <xf numFmtId="4" fontId="9" fillId="0" borderId="131" xfId="47" applyNumberFormat="1" applyBorder="1" applyAlignment="1">
      <alignment vertical="center"/>
      <protection/>
    </xf>
    <xf numFmtId="0" fontId="27" fillId="38" borderId="146" xfId="47" applyFont="1" applyFill="1" applyBorder="1" applyAlignment="1">
      <alignment vertical="center"/>
      <protection/>
    </xf>
    <xf numFmtId="0" fontId="27" fillId="38" borderId="14" xfId="47" applyFont="1" applyFill="1" applyBorder="1" applyAlignment="1">
      <alignment vertical="center"/>
      <protection/>
    </xf>
    <xf numFmtId="168" fontId="9" fillId="38" borderId="147" xfId="47" applyNumberFormat="1" applyFill="1" applyBorder="1" applyAlignment="1">
      <alignment vertical="center"/>
      <protection/>
    </xf>
    <xf numFmtId="168" fontId="9" fillId="38" borderId="148" xfId="47" applyNumberFormat="1" applyFill="1" applyBorder="1" applyAlignment="1">
      <alignment vertical="center"/>
      <protection/>
    </xf>
    <xf numFmtId="168" fontId="9" fillId="38" borderId="149" xfId="47" applyNumberFormat="1" applyFill="1" applyBorder="1" applyAlignment="1">
      <alignment vertical="center"/>
      <protection/>
    </xf>
    <xf numFmtId="168" fontId="9" fillId="38" borderId="50" xfId="47" applyNumberFormat="1" applyFill="1" applyBorder="1" applyAlignment="1">
      <alignment vertical="center"/>
      <protection/>
    </xf>
    <xf numFmtId="168" fontId="9" fillId="38" borderId="150" xfId="47" applyNumberFormat="1" applyFill="1" applyBorder="1" applyAlignment="1">
      <alignment vertical="center"/>
      <protection/>
    </xf>
    <xf numFmtId="0" fontId="6" fillId="33" borderId="0" xfId="80" applyFont="1" applyFill="1" applyBorder="1" applyAlignment="1">
      <alignment horizontal="center" vertical="center"/>
      <protection/>
    </xf>
    <xf numFmtId="0" fontId="7" fillId="7" borderId="10" xfId="80" applyFont="1" applyFill="1" applyBorder="1" applyAlignment="1">
      <alignment horizontal="center" vertical="center" wrapText="1"/>
      <protection/>
    </xf>
    <xf numFmtId="3" fontId="5" fillId="7" borderId="13" xfId="80" applyNumberFormat="1" applyFont="1" applyFill="1" applyBorder="1" applyAlignment="1">
      <alignment horizontal="center" vertical="center"/>
      <protection/>
    </xf>
    <xf numFmtId="3" fontId="5" fillId="7" borderId="15" xfId="80" applyNumberFormat="1" applyFont="1" applyFill="1" applyBorder="1" applyAlignment="1">
      <alignment horizontal="center" vertical="center"/>
      <protection/>
    </xf>
    <xf numFmtId="3" fontId="5" fillId="7" borderId="18" xfId="80" applyNumberFormat="1" applyFont="1" applyFill="1" applyBorder="1" applyAlignment="1">
      <alignment horizontal="center" vertical="center"/>
      <protection/>
    </xf>
    <xf numFmtId="3" fontId="5" fillId="0" borderId="34" xfId="80" applyNumberFormat="1" applyFont="1" applyFill="1" applyBorder="1" applyAlignment="1">
      <alignment horizontal="center" vertical="center"/>
      <protection/>
    </xf>
    <xf numFmtId="10" fontId="6" fillId="33" borderId="42" xfId="80" applyNumberFormat="1" applyFont="1" applyFill="1" applyBorder="1" applyAlignment="1">
      <alignment horizontal="center" vertical="center"/>
      <protection/>
    </xf>
    <xf numFmtId="0" fontId="15" fillId="33" borderId="39" xfId="80" applyFont="1" applyFill="1" applyBorder="1" applyAlignment="1">
      <alignment horizontal="center" vertical="center" wrapText="1"/>
      <protection/>
    </xf>
    <xf numFmtId="3" fontId="9" fillId="0" borderId="30" xfId="47" applyNumberFormat="1" applyFont="1" applyFill="1" applyBorder="1" applyAlignment="1">
      <alignment vertical="center"/>
      <protection/>
    </xf>
    <xf numFmtId="0" fontId="9" fillId="0" borderId="84" xfId="47" applyFill="1" applyBorder="1" applyAlignment="1">
      <alignment vertical="center"/>
      <protection/>
    </xf>
    <xf numFmtId="168" fontId="9" fillId="0" borderId="59" xfId="47" applyNumberFormat="1" applyFill="1" applyBorder="1" applyAlignment="1">
      <alignment horizontal="center" vertical="center"/>
      <protection/>
    </xf>
    <xf numFmtId="3" fontId="9" fillId="0" borderId="48" xfId="47" applyNumberFormat="1" applyFont="1" applyFill="1" applyBorder="1" applyAlignment="1">
      <alignment vertical="center"/>
      <protection/>
    </xf>
    <xf numFmtId="3" fontId="9" fillId="0" borderId="0" xfId="47" applyNumberFormat="1" applyFont="1" applyAlignment="1">
      <alignment horizontal="right" vertical="center"/>
      <protection/>
    </xf>
    <xf numFmtId="167" fontId="9" fillId="0" borderId="81" xfId="81" applyNumberFormat="1" applyFont="1" applyFill="1" applyBorder="1" applyAlignment="1">
      <alignment vertical="center"/>
      <protection/>
    </xf>
    <xf numFmtId="4" fontId="9" fillId="7" borderId="39" xfId="81" applyNumberFormat="1" applyFont="1" applyFill="1" applyBorder="1" applyAlignment="1">
      <alignment vertical="center"/>
      <protection/>
    </xf>
    <xf numFmtId="3" fontId="9" fillId="0" borderId="81" xfId="81" applyNumberFormat="1" applyFont="1" applyFill="1" applyBorder="1" applyAlignment="1">
      <alignment vertical="center"/>
      <protection/>
    </xf>
    <xf numFmtId="3" fontId="106" fillId="33" borderId="151" xfId="80" applyNumberFormat="1" applyFont="1" applyFill="1" applyBorder="1" applyAlignment="1">
      <alignment vertical="center"/>
      <protection/>
    </xf>
    <xf numFmtId="3" fontId="106" fillId="33" borderId="66" xfId="80" applyNumberFormat="1" applyFont="1" applyFill="1" applyBorder="1" applyAlignment="1">
      <alignment horizontal="center" vertical="center"/>
      <protection/>
    </xf>
    <xf numFmtId="3" fontId="106" fillId="0" borderId="152" xfId="80" applyNumberFormat="1" applyFont="1" applyFill="1" applyBorder="1" applyAlignment="1">
      <alignment vertical="center"/>
      <protection/>
    </xf>
    <xf numFmtId="3" fontId="112" fillId="33" borderId="63" xfId="80" applyNumberFormat="1" applyFont="1" applyFill="1" applyBorder="1" applyAlignment="1">
      <alignment horizontal="right" vertical="center"/>
      <protection/>
    </xf>
    <xf numFmtId="3" fontId="113" fillId="33" borderId="64" xfId="80" applyNumberFormat="1" applyFont="1" applyFill="1" applyBorder="1" applyAlignment="1">
      <alignment horizontal="right" vertical="center"/>
      <protection/>
    </xf>
    <xf numFmtId="3" fontId="106" fillId="0" borderId="151" xfId="80" applyNumberFormat="1" applyFont="1" applyFill="1" applyBorder="1" applyAlignment="1">
      <alignment horizontal="right" vertical="center"/>
      <protection/>
    </xf>
    <xf numFmtId="3" fontId="106" fillId="0" borderId="66" xfId="80" applyNumberFormat="1" applyFont="1" applyFill="1" applyBorder="1" applyAlignment="1">
      <alignment horizontal="right" vertical="center"/>
      <protection/>
    </xf>
    <xf numFmtId="3" fontId="106" fillId="0" borderId="152" xfId="80" applyNumberFormat="1" applyFont="1" applyFill="1" applyBorder="1" applyAlignment="1">
      <alignment horizontal="right" vertical="center"/>
      <protection/>
    </xf>
    <xf numFmtId="3" fontId="113" fillId="33" borderId="69" xfId="80" applyNumberFormat="1" applyFont="1" applyFill="1" applyBorder="1" applyAlignment="1">
      <alignment horizontal="right" vertical="center"/>
      <protection/>
    </xf>
    <xf numFmtId="3" fontId="106" fillId="33" borderId="68" xfId="80" applyNumberFormat="1" applyFont="1" applyFill="1" applyBorder="1" applyAlignment="1">
      <alignment horizontal="right" vertical="center"/>
      <protection/>
    </xf>
    <xf numFmtId="3" fontId="106" fillId="33" borderId="69" xfId="80" applyNumberFormat="1" applyFont="1" applyFill="1" applyBorder="1" applyAlignment="1">
      <alignment horizontal="right" vertical="center"/>
      <protection/>
    </xf>
    <xf numFmtId="3" fontId="106" fillId="33" borderId="66" xfId="80" applyNumberFormat="1" applyFont="1" applyFill="1" applyBorder="1" applyAlignment="1">
      <alignment horizontal="right" vertical="center"/>
      <protection/>
    </xf>
    <xf numFmtId="0" fontId="25" fillId="0" borderId="0" xfId="47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9" fillId="0" borderId="0" xfId="51" applyFill="1" applyBorder="1" applyAlignment="1">
      <alignment vertical="center"/>
      <protection/>
    </xf>
    <xf numFmtId="0" fontId="0" fillId="0" borderId="0" xfId="52" applyFill="1" applyBorder="1">
      <alignment/>
      <protection/>
    </xf>
    <xf numFmtId="0" fontId="35" fillId="0" borderId="0" xfId="51" applyFont="1" applyFill="1" applyBorder="1" applyAlignment="1">
      <alignment vertical="center"/>
      <protection/>
    </xf>
    <xf numFmtId="164" fontId="37" fillId="0" borderId="0" xfId="84" applyNumberFormat="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>
      <alignment horizontal="center" vertical="center" wrapText="1"/>
      <protection/>
    </xf>
    <xf numFmtId="0" fontId="35" fillId="0" borderId="0" xfId="51" applyFont="1" applyFill="1" applyBorder="1" applyAlignment="1">
      <alignment vertical="center" wrapText="1"/>
      <protection/>
    </xf>
    <xf numFmtId="0" fontId="35" fillId="2" borderId="153" xfId="51" applyFont="1" applyFill="1" applyBorder="1" applyAlignment="1">
      <alignment horizontal="center" vertical="center"/>
      <protection/>
    </xf>
    <xf numFmtId="0" fontId="35" fillId="2" borderId="154" xfId="51" applyFont="1" applyFill="1" applyBorder="1" applyAlignment="1">
      <alignment horizontal="center" vertical="center"/>
      <protection/>
    </xf>
    <xf numFmtId="0" fontId="35" fillId="2" borderId="155" xfId="51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38" xfId="0" applyFill="1" applyBorder="1" applyAlignment="1">
      <alignment/>
    </xf>
    <xf numFmtId="164" fontId="36" fillId="0" borderId="0" xfId="84" applyNumberFormat="1" applyFont="1" applyFill="1" applyBorder="1" applyAlignment="1" applyProtection="1">
      <alignment horizontal="right" vertical="center"/>
      <protection/>
    </xf>
    <xf numFmtId="164" fontId="35" fillId="0" borderId="49" xfId="51" applyNumberFormat="1" applyFont="1" applyFill="1" applyBorder="1" applyAlignment="1">
      <alignment horizontal="center" vertical="center"/>
      <protection/>
    </xf>
    <xf numFmtId="164" fontId="35" fillId="0" borderId="38" xfId="51" applyNumberFormat="1" applyFont="1" applyFill="1" applyBorder="1" applyAlignment="1">
      <alignment horizontal="center" vertical="center"/>
      <protection/>
    </xf>
    <xf numFmtId="164" fontId="36" fillId="8" borderId="156" xfId="84" applyNumberFormat="1" applyFont="1" applyFill="1" applyBorder="1" applyAlignment="1" applyProtection="1">
      <alignment horizontal="right" vertical="center"/>
      <protection/>
    </xf>
    <xf numFmtId="164" fontId="36" fillId="0" borderId="38" xfId="51" applyNumberFormat="1" applyFont="1" applyFill="1" applyBorder="1" applyAlignment="1" applyProtection="1">
      <alignment vertical="center" wrapText="1"/>
      <protection/>
    </xf>
    <xf numFmtId="0" fontId="0" fillId="0" borderId="157" xfId="0" applyFill="1" applyBorder="1" applyAlignment="1">
      <alignment/>
    </xf>
    <xf numFmtId="164" fontId="36" fillId="8" borderId="72" xfId="84" applyNumberFormat="1" applyFont="1" applyFill="1" applyBorder="1" applyAlignment="1" applyProtection="1">
      <alignment horizontal="right" vertical="center"/>
      <protection/>
    </xf>
    <xf numFmtId="164" fontId="35" fillId="0" borderId="0" xfId="51" applyNumberFormat="1" applyFont="1" applyFill="1" applyBorder="1" applyAlignment="1">
      <alignment vertical="center"/>
      <protection/>
    </xf>
    <xf numFmtId="164" fontId="35" fillId="0" borderId="49" xfId="51" applyNumberFormat="1" applyFont="1" applyFill="1" applyBorder="1" applyAlignment="1">
      <alignment vertical="center"/>
      <protection/>
    </xf>
    <xf numFmtId="164" fontId="36" fillId="0" borderId="38" xfId="84" applyNumberFormat="1" applyFont="1" applyFill="1" applyBorder="1" applyAlignment="1" applyProtection="1">
      <alignment horizontal="right" vertical="center"/>
      <protection/>
    </xf>
    <xf numFmtId="164" fontId="35" fillId="0" borderId="38" xfId="51" applyNumberFormat="1" applyFont="1" applyFill="1" applyBorder="1" applyAlignment="1">
      <alignment vertical="center"/>
      <protection/>
    </xf>
    <xf numFmtId="164" fontId="36" fillId="13" borderId="38" xfId="84" applyNumberFormat="1" applyFont="1" applyFill="1" applyBorder="1" applyAlignment="1" applyProtection="1">
      <alignment horizontal="right" vertical="center"/>
      <protection/>
    </xf>
    <xf numFmtId="164" fontId="35" fillId="0" borderId="11" xfId="51" applyNumberFormat="1" applyFont="1" applyFill="1" applyBorder="1" applyAlignment="1">
      <alignment vertical="center"/>
      <protection/>
    </xf>
    <xf numFmtId="164" fontId="36" fillId="13" borderId="58" xfId="84" applyNumberFormat="1" applyFont="1" applyFill="1" applyBorder="1" applyAlignment="1" applyProtection="1">
      <alignment horizontal="right" vertical="center"/>
      <protection/>
    </xf>
    <xf numFmtId="164" fontId="36" fillId="13" borderId="72" xfId="84" applyNumberFormat="1" applyFont="1" applyFill="1" applyBorder="1" applyAlignment="1" applyProtection="1">
      <alignment horizontal="right" vertical="center"/>
      <protection/>
    </xf>
    <xf numFmtId="9" fontId="36" fillId="9" borderId="158" xfId="84" applyFont="1" applyFill="1" applyBorder="1" applyAlignment="1">
      <alignment horizontal="center" vertical="center"/>
    </xf>
    <xf numFmtId="3" fontId="114" fillId="9" borderId="72" xfId="52" applyNumberFormat="1" applyFont="1" applyFill="1" applyBorder="1" applyAlignment="1">
      <alignment vertical="center"/>
      <protection/>
    </xf>
    <xf numFmtId="0" fontId="0" fillId="0" borderId="82" xfId="0" applyFill="1" applyBorder="1" applyAlignment="1">
      <alignment/>
    </xf>
    <xf numFmtId="164" fontId="36" fillId="0" borderId="159" xfId="84" applyNumberFormat="1" applyFont="1" applyFill="1" applyBorder="1" applyAlignment="1" applyProtection="1">
      <alignment horizontal="right" vertical="center"/>
      <protection/>
    </xf>
    <xf numFmtId="0" fontId="35" fillId="0" borderId="160" xfId="51" applyFont="1" applyFill="1" applyBorder="1" applyAlignment="1">
      <alignment horizontal="center" vertical="center" wrapText="1"/>
      <protection/>
    </xf>
    <xf numFmtId="0" fontId="35" fillId="0" borderId="161" xfId="5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164" fontId="36" fillId="0" borderId="162" xfId="84" applyNumberFormat="1" applyFont="1" applyFill="1" applyBorder="1" applyAlignment="1" applyProtection="1">
      <alignment horizontal="right" vertical="center"/>
      <protection/>
    </xf>
    <xf numFmtId="0" fontId="0" fillId="0" borderId="163" xfId="0" applyFill="1" applyBorder="1" applyAlignment="1">
      <alignment/>
    </xf>
    <xf numFmtId="164" fontId="36" fillId="0" borderId="50" xfId="84" applyNumberFormat="1" applyFont="1" applyFill="1" applyBorder="1" applyAlignment="1" applyProtection="1">
      <alignment horizontal="right" vertical="center"/>
      <protection/>
    </xf>
    <xf numFmtId="0" fontId="35" fillId="0" borderId="0" xfId="51" applyFont="1" applyFill="1" applyBorder="1" applyAlignment="1">
      <alignment horizontal="center" vertical="center" wrapText="1"/>
      <protection/>
    </xf>
    <xf numFmtId="164" fontId="36" fillId="0" borderId="57" xfId="84" applyNumberFormat="1" applyFont="1" applyFill="1" applyBorder="1" applyAlignment="1" applyProtection="1">
      <alignment horizontal="right" vertical="center"/>
      <protection/>
    </xf>
    <xf numFmtId="164" fontId="36" fillId="0" borderId="32" xfId="84" applyNumberFormat="1" applyFont="1" applyFill="1" applyBorder="1" applyAlignment="1" applyProtection="1">
      <alignment horizontal="right" vertical="center"/>
      <protection/>
    </xf>
    <xf numFmtId="10" fontId="36" fillId="0" borderId="164" xfId="84" applyNumberFormat="1" applyFont="1" applyFill="1" applyBorder="1" applyAlignment="1" applyProtection="1">
      <alignment horizontal="right" vertical="center"/>
      <protection/>
    </xf>
    <xf numFmtId="3" fontId="35" fillId="0" borderId="165" xfId="51" applyNumberFormat="1" applyFont="1" applyFill="1" applyBorder="1" applyAlignment="1">
      <alignment vertical="center"/>
      <protection/>
    </xf>
    <xf numFmtId="49" fontId="35" fillId="0" borderId="23" xfId="51" applyNumberFormat="1" applyFont="1" applyFill="1" applyBorder="1" applyAlignment="1" applyProtection="1">
      <alignment horizontal="center" vertical="center"/>
      <protection/>
    </xf>
    <xf numFmtId="49" fontId="36" fillId="0" borderId="24" xfId="51" applyNumberFormat="1" applyFont="1" applyFill="1" applyBorder="1" applyAlignment="1" applyProtection="1">
      <alignment horizontal="left" vertical="center"/>
      <protection/>
    </xf>
    <xf numFmtId="3" fontId="35" fillId="0" borderId="23" xfId="51" applyNumberFormat="1" applyFont="1" applyFill="1" applyBorder="1" applyAlignment="1" applyProtection="1">
      <alignment horizontal="right" vertical="center"/>
      <protection/>
    </xf>
    <xf numFmtId="164" fontId="36" fillId="0" borderId="166" xfId="84" applyNumberFormat="1" applyFont="1" applyFill="1" applyBorder="1" applyAlignment="1" applyProtection="1">
      <alignment horizontal="right" vertical="center"/>
      <protection/>
    </xf>
    <xf numFmtId="0" fontId="0" fillId="0" borderId="167" xfId="0" applyFill="1" applyBorder="1" applyAlignment="1">
      <alignment/>
    </xf>
    <xf numFmtId="0" fontId="0" fillId="0" borderId="168" xfId="0" applyFill="1" applyBorder="1" applyAlignment="1">
      <alignment/>
    </xf>
    <xf numFmtId="0" fontId="35" fillId="0" borderId="169" xfId="51" applyFont="1" applyFill="1" applyBorder="1" applyAlignment="1">
      <alignment vertical="center"/>
      <protection/>
    </xf>
    <xf numFmtId="164" fontId="36" fillId="0" borderId="170" xfId="84" applyNumberFormat="1" applyFont="1" applyFill="1" applyBorder="1" applyAlignment="1" applyProtection="1">
      <alignment horizontal="right" vertical="center"/>
      <protection/>
    </xf>
    <xf numFmtId="0" fontId="35" fillId="0" borderId="171" xfId="51" applyFont="1" applyFill="1" applyBorder="1" applyAlignment="1">
      <alignment vertical="center"/>
      <protection/>
    </xf>
    <xf numFmtId="164" fontId="35" fillId="0" borderId="171" xfId="51" applyNumberFormat="1" applyFont="1" applyFill="1" applyBorder="1" applyAlignment="1">
      <alignment horizontal="center" vertical="center"/>
      <protection/>
    </xf>
    <xf numFmtId="0" fontId="35" fillId="0" borderId="23" xfId="51" applyFont="1" applyFill="1" applyBorder="1" applyAlignment="1">
      <alignment vertical="center"/>
      <protection/>
    </xf>
    <xf numFmtId="164" fontId="36" fillId="0" borderId="24" xfId="84" applyNumberFormat="1" applyFont="1" applyFill="1" applyBorder="1" applyAlignment="1" applyProtection="1">
      <alignment horizontal="right" vertical="center"/>
      <protection/>
    </xf>
    <xf numFmtId="10" fontId="35" fillId="0" borderId="167" xfId="84" applyNumberFormat="1" applyFont="1" applyFill="1" applyBorder="1" applyAlignment="1" applyProtection="1">
      <alignment horizontal="right" vertical="center"/>
      <protection/>
    </xf>
    <xf numFmtId="3" fontId="35" fillId="0" borderId="172" xfId="51" applyNumberFormat="1" applyFont="1" applyFill="1" applyBorder="1" applyAlignment="1">
      <alignment vertical="center"/>
      <protection/>
    </xf>
    <xf numFmtId="0" fontId="35" fillId="0" borderId="171" xfId="51" applyFont="1" applyFill="1" applyBorder="1" applyAlignment="1">
      <alignment horizontal="center" vertical="center"/>
      <protection/>
    </xf>
    <xf numFmtId="3" fontId="35" fillId="0" borderId="23" xfId="51" applyNumberFormat="1" applyFont="1" applyFill="1" applyBorder="1" applyAlignment="1">
      <alignment horizontal="right" vertical="center"/>
      <protection/>
    </xf>
    <xf numFmtId="49" fontId="35" fillId="0" borderId="173" xfId="51" applyNumberFormat="1" applyFont="1" applyFill="1" applyBorder="1" applyAlignment="1" applyProtection="1">
      <alignment horizontal="center" vertical="center"/>
      <protection/>
    </xf>
    <xf numFmtId="49" fontId="36" fillId="0" borderId="174" xfId="51" applyNumberFormat="1" applyFont="1" applyFill="1" applyBorder="1" applyAlignment="1" applyProtection="1">
      <alignment horizontal="left" vertical="center"/>
      <protection/>
    </xf>
    <xf numFmtId="3" fontId="35" fillId="0" borderId="173" xfId="51" applyNumberFormat="1" applyFont="1" applyFill="1" applyBorder="1" applyAlignment="1" applyProtection="1">
      <alignment horizontal="right" vertical="center"/>
      <protection/>
    </xf>
    <xf numFmtId="164" fontId="36" fillId="0" borderId="175" xfId="84" applyNumberFormat="1" applyFont="1" applyFill="1" applyBorder="1" applyAlignment="1" applyProtection="1">
      <alignment horizontal="right" vertical="center"/>
      <protection/>
    </xf>
    <xf numFmtId="0" fontId="0" fillId="0" borderId="176" xfId="0" applyFill="1" applyBorder="1" applyAlignment="1">
      <alignment/>
    </xf>
    <xf numFmtId="0" fontId="0" fillId="0" borderId="177" xfId="0" applyFill="1" applyBorder="1" applyAlignment="1">
      <alignment/>
    </xf>
    <xf numFmtId="0" fontId="35" fillId="0" borderId="51" xfId="51" applyFont="1" applyFill="1" applyBorder="1" applyAlignment="1">
      <alignment vertical="center"/>
      <protection/>
    </xf>
    <xf numFmtId="164" fontId="36" fillId="0" borderId="178" xfId="84" applyNumberFormat="1" applyFont="1" applyFill="1" applyBorder="1" applyAlignment="1" applyProtection="1">
      <alignment horizontal="right" vertical="center"/>
      <protection/>
    </xf>
    <xf numFmtId="0" fontId="35" fillId="0" borderId="179" xfId="51" applyFont="1" applyFill="1" applyBorder="1" applyAlignment="1">
      <alignment vertical="center"/>
      <protection/>
    </xf>
    <xf numFmtId="164" fontId="36" fillId="0" borderId="60" xfId="84" applyNumberFormat="1" applyFont="1" applyFill="1" applyBorder="1" applyAlignment="1" applyProtection="1">
      <alignment horizontal="right" vertical="center"/>
      <protection/>
    </xf>
    <xf numFmtId="0" fontId="35" fillId="0" borderId="179" xfId="51" applyFont="1" applyFill="1" applyBorder="1" applyAlignment="1">
      <alignment horizontal="center" vertical="center"/>
      <protection/>
    </xf>
    <xf numFmtId="0" fontId="35" fillId="0" borderId="173" xfId="51" applyFont="1" applyFill="1" applyBorder="1" applyAlignment="1">
      <alignment vertical="center"/>
      <protection/>
    </xf>
    <xf numFmtId="164" fontId="35" fillId="0" borderId="179" xfId="51" applyNumberFormat="1" applyFont="1" applyFill="1" applyBorder="1" applyAlignment="1">
      <alignment horizontal="center" vertical="center"/>
      <protection/>
    </xf>
    <xf numFmtId="164" fontId="36" fillId="0" borderId="174" xfId="84" applyNumberFormat="1" applyFont="1" applyFill="1" applyBorder="1" applyAlignment="1" applyProtection="1">
      <alignment horizontal="right" vertical="center"/>
      <protection/>
    </xf>
    <xf numFmtId="10" fontId="35" fillId="0" borderId="176" xfId="84" applyNumberFormat="1" applyFont="1" applyFill="1" applyBorder="1" applyAlignment="1" applyProtection="1">
      <alignment horizontal="right" vertical="center"/>
      <protection/>
    </xf>
    <xf numFmtId="3" fontId="35" fillId="0" borderId="180" xfId="5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0" fontId="35" fillId="0" borderId="0" xfId="51" applyNumberFormat="1" applyFont="1" applyFill="1" applyBorder="1" applyAlignment="1">
      <alignment vertical="center"/>
      <protection/>
    </xf>
    <xf numFmtId="0" fontId="9" fillId="0" borderId="0" xfId="69" applyFill="1" applyBorder="1">
      <alignment/>
      <protection/>
    </xf>
    <xf numFmtId="49" fontId="36" fillId="0" borderId="83" xfId="51" applyNumberFormat="1" applyFont="1" applyFill="1" applyBorder="1" applyAlignment="1" applyProtection="1">
      <alignment horizontal="center" vertical="center"/>
      <protection/>
    </xf>
    <xf numFmtId="49" fontId="36" fillId="0" borderId="33" xfId="51" applyNumberFormat="1" applyFont="1" applyFill="1" applyBorder="1" applyAlignment="1" applyProtection="1">
      <alignment horizontal="left" vertical="center"/>
      <protection/>
    </xf>
    <xf numFmtId="170" fontId="35" fillId="0" borderId="181" xfId="51" applyNumberFormat="1" applyFont="1" applyFill="1" applyBorder="1" applyAlignment="1" applyProtection="1">
      <alignment horizontal="right" vertical="center"/>
      <protection/>
    </xf>
    <xf numFmtId="164" fontId="35" fillId="0" borderId="182" xfId="84" applyNumberFormat="1" applyFont="1" applyFill="1" applyBorder="1" applyAlignment="1" applyProtection="1">
      <alignment horizontal="right" vertical="center"/>
      <protection/>
    </xf>
    <xf numFmtId="164" fontId="35" fillId="0" borderId="43" xfId="84" applyNumberFormat="1" applyFont="1" applyFill="1" applyBorder="1" applyAlignment="1" applyProtection="1">
      <alignment horizontal="right" vertical="center"/>
      <protection/>
    </xf>
    <xf numFmtId="164" fontId="35" fillId="0" borderId="55" xfId="84" applyNumberFormat="1" applyFont="1" applyFill="1" applyBorder="1" applyAlignment="1" applyProtection="1">
      <alignment horizontal="right" vertical="center"/>
      <protection/>
    </xf>
    <xf numFmtId="164" fontId="35" fillId="0" borderId="33" xfId="84" applyNumberFormat="1" applyFont="1" applyFill="1" applyBorder="1" applyAlignment="1" applyProtection="1">
      <alignment horizontal="right" vertical="center"/>
      <protection/>
    </xf>
    <xf numFmtId="49" fontId="35" fillId="0" borderId="84" xfId="51" applyNumberFormat="1" applyFont="1" applyFill="1" applyBorder="1" applyAlignment="1" applyProtection="1">
      <alignment horizontal="center" vertical="center"/>
      <protection/>
    </xf>
    <xf numFmtId="49" fontId="36" fillId="0" borderId="183" xfId="51" applyNumberFormat="1" applyFont="1" applyFill="1" applyBorder="1" applyAlignment="1" applyProtection="1">
      <alignment horizontal="left" vertical="center"/>
      <protection/>
    </xf>
    <xf numFmtId="170" fontId="35" fillId="0" borderId="23" xfId="51" applyNumberFormat="1" applyFont="1" applyFill="1" applyBorder="1" applyAlignment="1" applyProtection="1">
      <alignment horizontal="right" vertical="center"/>
      <protection/>
    </xf>
    <xf numFmtId="164" fontId="35" fillId="0" borderId="170" xfId="84" applyNumberFormat="1" applyFont="1" applyFill="1" applyBorder="1" applyAlignment="1" applyProtection="1">
      <alignment horizontal="right" vertical="center"/>
      <protection/>
    </xf>
    <xf numFmtId="170" fontId="35" fillId="0" borderId="171" xfId="51" applyNumberFormat="1" applyFont="1" applyFill="1" applyBorder="1" applyAlignment="1" applyProtection="1">
      <alignment horizontal="right" vertical="center"/>
      <protection/>
    </xf>
    <xf numFmtId="164" fontId="35" fillId="0" borderId="0" xfId="84" applyNumberFormat="1" applyFont="1" applyFill="1" applyBorder="1" applyAlignment="1" applyProtection="1">
      <alignment horizontal="right" vertical="center"/>
      <protection/>
    </xf>
    <xf numFmtId="170" fontId="35" fillId="0" borderId="169" xfId="51" applyNumberFormat="1" applyFont="1" applyFill="1" applyBorder="1" applyAlignment="1" applyProtection="1">
      <alignment horizontal="right" vertical="center"/>
      <protection/>
    </xf>
    <xf numFmtId="164" fontId="35" fillId="0" borderId="184" xfId="84" applyNumberFormat="1" applyFont="1" applyFill="1" applyBorder="1" applyAlignment="1" applyProtection="1">
      <alignment horizontal="right" vertical="center"/>
      <protection/>
    </xf>
    <xf numFmtId="164" fontId="35" fillId="0" borderId="24" xfId="84" applyNumberFormat="1" applyFont="1" applyFill="1" applyBorder="1" applyAlignment="1" applyProtection="1">
      <alignment horizontal="right" vertical="center"/>
      <protection/>
    </xf>
    <xf numFmtId="49" fontId="35" fillId="0" borderId="36" xfId="51" applyNumberFormat="1" applyFont="1" applyFill="1" applyBorder="1" applyAlignment="1" applyProtection="1">
      <alignment horizontal="center" vertical="center"/>
      <protection/>
    </xf>
    <xf numFmtId="49" fontId="36" fillId="0" borderId="185" xfId="51" applyNumberFormat="1" applyFont="1" applyFill="1" applyBorder="1" applyAlignment="1" applyProtection="1">
      <alignment horizontal="left" vertical="center"/>
      <protection/>
    </xf>
    <xf numFmtId="170" fontId="35" fillId="0" borderId="36" xfId="51" applyNumberFormat="1" applyFont="1" applyFill="1" applyBorder="1" applyAlignment="1" applyProtection="1">
      <alignment horizontal="right" vertical="center"/>
      <protection/>
    </xf>
    <xf numFmtId="164" fontId="35" fillId="0" borderId="186" xfId="84" applyNumberFormat="1" applyFont="1" applyFill="1" applyBorder="1" applyAlignment="1" applyProtection="1">
      <alignment horizontal="right" vertical="center"/>
      <protection/>
    </xf>
    <xf numFmtId="170" fontId="35" fillId="0" borderId="187" xfId="51" applyNumberFormat="1" applyFont="1" applyFill="1" applyBorder="1" applyAlignment="1" applyProtection="1">
      <alignment horizontal="right" vertical="center"/>
      <protection/>
    </xf>
    <xf numFmtId="164" fontId="35" fillId="0" borderId="37" xfId="84" applyNumberFormat="1" applyFont="1" applyFill="1" applyBorder="1" applyAlignment="1" applyProtection="1">
      <alignment horizontal="right" vertical="center"/>
      <protection/>
    </xf>
    <xf numFmtId="170" fontId="35" fillId="0" borderId="16" xfId="51" applyNumberFormat="1" applyFont="1" applyFill="1" applyBorder="1" applyAlignment="1" applyProtection="1">
      <alignment horizontal="right" vertical="center"/>
      <protection/>
    </xf>
    <xf numFmtId="170" fontId="35" fillId="0" borderId="40" xfId="61" applyNumberFormat="1" applyFont="1" applyFill="1" applyBorder="1" applyAlignment="1" applyProtection="1">
      <alignment horizontal="right" vertical="center"/>
      <protection/>
    </xf>
    <xf numFmtId="171" fontId="35" fillId="0" borderId="188" xfId="51" applyNumberFormat="1" applyFont="1" applyFill="1" applyBorder="1" applyAlignment="1" applyProtection="1">
      <alignment horizontal="right" vertical="center"/>
      <protection/>
    </xf>
    <xf numFmtId="171" fontId="35" fillId="0" borderId="189" xfId="51" applyNumberFormat="1" applyFont="1" applyFill="1" applyBorder="1" applyAlignment="1" applyProtection="1">
      <alignment horizontal="right" vertical="center"/>
      <protection/>
    </xf>
    <xf numFmtId="170" fontId="35" fillId="0" borderId="189" xfId="51" applyNumberFormat="1" applyFont="1" applyFill="1" applyBorder="1" applyAlignment="1" applyProtection="1">
      <alignment horizontal="right" vertical="center"/>
      <protection/>
    </xf>
    <xf numFmtId="164" fontId="35" fillId="0" borderId="190" xfId="84" applyNumberFormat="1" applyFont="1" applyFill="1" applyBorder="1" applyAlignment="1" applyProtection="1">
      <alignment horizontal="right" vertical="center"/>
      <protection/>
    </xf>
    <xf numFmtId="170" fontId="35" fillId="0" borderId="83" xfId="51" applyNumberFormat="1" applyFont="1" applyFill="1" applyBorder="1" applyAlignment="1" applyProtection="1">
      <alignment horizontal="right" vertical="center"/>
      <protection/>
    </xf>
    <xf numFmtId="170" fontId="35" fillId="0" borderId="40" xfId="51" applyNumberFormat="1" applyFont="1" applyFill="1" applyBorder="1" applyAlignment="1" applyProtection="1">
      <alignment horizontal="right" vertical="center"/>
      <protection/>
    </xf>
    <xf numFmtId="170" fontId="35" fillId="0" borderId="169" xfId="61" applyNumberFormat="1" applyFont="1" applyFill="1" applyBorder="1" applyAlignment="1" applyProtection="1">
      <alignment horizontal="right" vertical="center"/>
      <protection/>
    </xf>
    <xf numFmtId="164" fontId="35" fillId="0" borderId="166" xfId="84" applyNumberFormat="1" applyFont="1" applyFill="1" applyBorder="1" applyAlignment="1" applyProtection="1">
      <alignment horizontal="right" vertical="center"/>
      <protection/>
    </xf>
    <xf numFmtId="171" fontId="35" fillId="0" borderId="167" xfId="51" applyNumberFormat="1" applyFont="1" applyFill="1" applyBorder="1" applyAlignment="1" applyProtection="1">
      <alignment horizontal="right" vertical="center"/>
      <protection/>
    </xf>
    <xf numFmtId="171" fontId="35" fillId="0" borderId="168" xfId="51" applyNumberFormat="1" applyFont="1" applyFill="1" applyBorder="1" applyAlignment="1" applyProtection="1">
      <alignment horizontal="right" vertical="center"/>
      <protection/>
    </xf>
    <xf numFmtId="170" fontId="35" fillId="0" borderId="168" xfId="51" applyNumberFormat="1" applyFont="1" applyFill="1" applyBorder="1" applyAlignment="1" applyProtection="1">
      <alignment horizontal="right" vertical="center"/>
      <protection/>
    </xf>
    <xf numFmtId="3" fontId="35" fillId="0" borderId="171" xfId="84" applyNumberFormat="1" applyFont="1" applyFill="1" applyBorder="1" applyAlignment="1" applyProtection="1">
      <alignment horizontal="right" vertical="center"/>
      <protection/>
    </xf>
    <xf numFmtId="3" fontId="9" fillId="0" borderId="0" xfId="51" applyNumberFormat="1" applyFont="1" applyFill="1" applyBorder="1" applyAlignment="1">
      <alignment vertical="center"/>
      <protection/>
    </xf>
    <xf numFmtId="170" fontId="35" fillId="0" borderId="16" xfId="61" applyNumberFormat="1" applyFont="1" applyFill="1" applyBorder="1" applyAlignment="1" applyProtection="1">
      <alignment horizontal="right" vertical="center"/>
      <protection/>
    </xf>
    <xf numFmtId="164" fontId="35" fillId="0" borderId="191" xfId="84" applyNumberFormat="1" applyFont="1" applyFill="1" applyBorder="1" applyAlignment="1" applyProtection="1">
      <alignment horizontal="right" vertical="center"/>
      <protection/>
    </xf>
    <xf numFmtId="171" fontId="35" fillId="0" borderId="192" xfId="51" applyNumberFormat="1" applyFont="1" applyFill="1" applyBorder="1" applyAlignment="1" applyProtection="1">
      <alignment horizontal="right" vertical="center"/>
      <protection/>
    </xf>
    <xf numFmtId="171" fontId="35" fillId="0" borderId="193" xfId="51" applyNumberFormat="1" applyFont="1" applyFill="1" applyBorder="1" applyAlignment="1" applyProtection="1">
      <alignment horizontal="right" vertical="center"/>
      <protection/>
    </xf>
    <xf numFmtId="170" fontId="35" fillId="0" borderId="193" xfId="51" applyNumberFormat="1" applyFont="1" applyFill="1" applyBorder="1" applyAlignment="1" applyProtection="1">
      <alignment horizontal="right" vertical="center"/>
      <protection/>
    </xf>
    <xf numFmtId="164" fontId="35" fillId="0" borderId="61" xfId="84" applyNumberFormat="1" applyFont="1" applyFill="1" applyBorder="1" applyAlignment="1" applyProtection="1">
      <alignment horizontal="right" vertical="center"/>
      <protection/>
    </xf>
    <xf numFmtId="164" fontId="35" fillId="0" borderId="185" xfId="84" applyNumberFormat="1" applyFont="1" applyFill="1" applyBorder="1" applyAlignment="1" applyProtection="1">
      <alignment horizontal="right" vertical="center"/>
      <protection/>
    </xf>
    <xf numFmtId="3" fontId="35" fillId="0" borderId="187" xfId="84" applyNumberFormat="1" applyFont="1" applyFill="1" applyBorder="1" applyAlignment="1" applyProtection="1">
      <alignment horizontal="right" vertical="center"/>
      <protection/>
    </xf>
    <xf numFmtId="10" fontId="35" fillId="0" borderId="0" xfId="51" applyNumberFormat="1" applyFont="1" applyFill="1" applyBorder="1" applyAlignment="1">
      <alignment vertical="center"/>
      <protection/>
    </xf>
    <xf numFmtId="0" fontId="9" fillId="0" borderId="43" xfId="51" applyFont="1" applyFill="1" applyBorder="1" applyAlignment="1">
      <alignment vertical="center"/>
      <protection/>
    </xf>
    <xf numFmtId="170" fontId="9" fillId="0" borderId="0" xfId="51" applyNumberFormat="1" applyFont="1" applyFill="1" applyBorder="1" applyAlignment="1">
      <alignment vertical="center"/>
      <protection/>
    </xf>
    <xf numFmtId="0" fontId="9" fillId="0" borderId="0" xfId="61" applyFill="1" applyBorder="1" applyAlignment="1">
      <alignment vertical="center"/>
      <protection/>
    </xf>
    <xf numFmtId="172" fontId="40" fillId="0" borderId="0" xfId="51" applyNumberFormat="1" applyFont="1" applyFill="1" applyBorder="1" applyAlignment="1">
      <alignment horizontal="center" vertical="center"/>
      <protection/>
    </xf>
    <xf numFmtId="172" fontId="41" fillId="0" borderId="0" xfId="51" applyNumberFormat="1" applyFont="1" applyFill="1" applyBorder="1" applyAlignment="1">
      <alignment horizontal="center" vertical="center"/>
      <protection/>
    </xf>
    <xf numFmtId="168" fontId="35" fillId="0" borderId="0" xfId="84" applyNumberFormat="1" applyFont="1" applyFill="1" applyBorder="1" applyAlignment="1" applyProtection="1">
      <alignment horizontal="right" vertical="center"/>
      <protection/>
    </xf>
    <xf numFmtId="170" fontId="35" fillId="0" borderId="173" xfId="51" applyNumberFormat="1" applyFont="1" applyFill="1" applyBorder="1" applyAlignment="1" applyProtection="1">
      <alignment horizontal="right" vertical="center"/>
      <protection/>
    </xf>
    <xf numFmtId="164" fontId="35" fillId="0" borderId="178" xfId="84" applyNumberFormat="1" applyFont="1" applyFill="1" applyBorder="1" applyAlignment="1" applyProtection="1">
      <alignment horizontal="right" vertical="center"/>
      <protection/>
    </xf>
    <xf numFmtId="170" fontId="35" fillId="0" borderId="179" xfId="51" applyNumberFormat="1" applyFont="1" applyFill="1" applyBorder="1" applyAlignment="1" applyProtection="1">
      <alignment horizontal="right" vertical="center"/>
      <protection/>
    </xf>
    <xf numFmtId="168" fontId="40" fillId="0" borderId="0" xfId="51" applyNumberFormat="1" applyFont="1" applyFill="1" applyBorder="1" applyAlignment="1">
      <alignment horizontal="center" vertical="center"/>
      <protection/>
    </xf>
    <xf numFmtId="4" fontId="9" fillId="0" borderId="0" xfId="51" applyNumberFormat="1" applyFont="1" applyFill="1" applyBorder="1" applyAlignment="1">
      <alignment vertical="center"/>
      <protection/>
    </xf>
    <xf numFmtId="168" fontId="9" fillId="0" borderId="0" xfId="51" applyNumberFormat="1" applyFont="1" applyFill="1" applyBorder="1" applyAlignment="1">
      <alignment vertical="center"/>
      <protection/>
    </xf>
    <xf numFmtId="0" fontId="107" fillId="0" borderId="80" xfId="0" applyFont="1" applyBorder="1" applyAlignment="1">
      <alignment horizontal="center" vertical="center"/>
    </xf>
    <xf numFmtId="0" fontId="107" fillId="0" borderId="15" xfId="0" applyFont="1" applyBorder="1" applyAlignment="1">
      <alignment vertical="center"/>
    </xf>
    <xf numFmtId="0" fontId="107" fillId="0" borderId="27" xfId="0" applyFont="1" applyBorder="1" applyAlignment="1">
      <alignment horizontal="center" vertical="center"/>
    </xf>
    <xf numFmtId="3" fontId="115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107" fillId="0" borderId="39" xfId="0" applyNumberFormat="1" applyFont="1" applyBorder="1" applyAlignment="1">
      <alignment horizontal="center" vertical="center" wrapText="1"/>
    </xf>
    <xf numFmtId="3" fontId="107" fillId="0" borderId="15" xfId="0" applyNumberFormat="1" applyFont="1" applyBorder="1" applyAlignment="1">
      <alignment vertical="center"/>
    </xf>
    <xf numFmtId="3" fontId="107" fillId="0" borderId="4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6" fillId="0" borderId="0" xfId="52" applyFont="1" applyAlignment="1">
      <alignment vertical="center"/>
      <protection/>
    </xf>
    <xf numFmtId="0" fontId="107" fillId="0" borderId="0" xfId="52" applyFont="1" applyAlignment="1">
      <alignment vertical="center"/>
      <protection/>
    </xf>
    <xf numFmtId="0" fontId="109" fillId="0" borderId="0" xfId="52" applyFont="1" applyAlignment="1">
      <alignment vertical="center"/>
      <protection/>
    </xf>
    <xf numFmtId="3" fontId="107" fillId="0" borderId="0" xfId="52" applyNumberFormat="1" applyFont="1" applyAlignment="1">
      <alignment vertical="center"/>
      <protection/>
    </xf>
    <xf numFmtId="0" fontId="109" fillId="0" borderId="0" xfId="52" applyFont="1" applyFill="1" applyAlignment="1">
      <alignment vertical="center" wrapText="1"/>
      <protection/>
    </xf>
    <xf numFmtId="3" fontId="107" fillId="0" borderId="40" xfId="52" applyNumberFormat="1" applyFont="1" applyBorder="1" applyAlignment="1">
      <alignment vertical="center"/>
      <protection/>
    </xf>
    <xf numFmtId="0" fontId="107" fillId="0" borderId="55" xfId="52" applyFont="1" applyBorder="1" applyAlignment="1">
      <alignment vertical="center"/>
      <protection/>
    </xf>
    <xf numFmtId="0" fontId="107" fillId="0" borderId="0" xfId="52" applyFont="1" applyAlignment="1">
      <alignment horizontal="center" vertical="center" wrapText="1"/>
      <protection/>
    </xf>
    <xf numFmtId="0" fontId="107" fillId="0" borderId="0" xfId="52" applyFont="1" applyAlignment="1">
      <alignment vertical="center" wrapText="1"/>
      <protection/>
    </xf>
    <xf numFmtId="3" fontId="9" fillId="0" borderId="36" xfId="51" applyNumberFormat="1" applyFont="1" applyFill="1" applyBorder="1" applyAlignment="1">
      <alignment vertical="center"/>
      <protection/>
    </xf>
    <xf numFmtId="3" fontId="9" fillId="0" borderId="25" xfId="51" applyNumberFormat="1" applyFont="1" applyFill="1" applyBorder="1" applyAlignment="1">
      <alignment vertical="center"/>
      <protection/>
    </xf>
    <xf numFmtId="10" fontId="44" fillId="0" borderId="13" xfId="51" applyNumberFormat="1" applyFont="1" applyFill="1" applyBorder="1" applyAlignment="1">
      <alignment vertical="center"/>
      <protection/>
    </xf>
    <xf numFmtId="3" fontId="107" fillId="0" borderId="13" xfId="52" applyNumberFormat="1" applyFont="1" applyFill="1" applyBorder="1" applyAlignment="1">
      <alignment vertical="center"/>
      <protection/>
    </xf>
    <xf numFmtId="10" fontId="44" fillId="0" borderId="35" xfId="51" applyNumberFormat="1" applyFont="1" applyFill="1" applyBorder="1" applyAlignment="1">
      <alignment vertical="center"/>
      <protection/>
    </xf>
    <xf numFmtId="3" fontId="107" fillId="3" borderId="13" xfId="52" applyNumberFormat="1" applyFont="1" applyFill="1" applyBorder="1" applyAlignment="1">
      <alignment vertical="center"/>
      <protection/>
    </xf>
    <xf numFmtId="0" fontId="107" fillId="0" borderId="46" xfId="52" applyFont="1" applyFill="1" applyBorder="1" applyAlignment="1">
      <alignment vertical="center"/>
      <protection/>
    </xf>
    <xf numFmtId="3" fontId="9" fillId="0" borderId="83" xfId="51" applyNumberFormat="1" applyFont="1" applyFill="1" applyBorder="1" applyAlignment="1">
      <alignment vertical="center"/>
      <protection/>
    </xf>
    <xf numFmtId="3" fontId="9" fillId="0" borderId="27" xfId="51" applyNumberFormat="1" applyFont="1" applyFill="1" applyBorder="1" applyAlignment="1">
      <alignment vertical="center"/>
      <protection/>
    </xf>
    <xf numFmtId="10" fontId="44" fillId="0" borderId="17" xfId="51" applyNumberFormat="1" applyFont="1" applyFill="1" applyBorder="1" applyAlignment="1">
      <alignment vertical="center"/>
      <protection/>
    </xf>
    <xf numFmtId="3" fontId="107" fillId="0" borderId="17" xfId="52" applyNumberFormat="1" applyFont="1" applyFill="1" applyBorder="1" applyAlignment="1">
      <alignment vertical="center"/>
      <protection/>
    </xf>
    <xf numFmtId="10" fontId="44" fillId="0" borderId="28" xfId="51" applyNumberFormat="1" applyFont="1" applyFill="1" applyBorder="1" applyAlignment="1">
      <alignment vertical="center"/>
      <protection/>
    </xf>
    <xf numFmtId="3" fontId="107" fillId="3" borderId="17" xfId="52" applyNumberFormat="1" applyFont="1" applyFill="1" applyBorder="1" applyAlignment="1">
      <alignment vertical="center"/>
      <protection/>
    </xf>
    <xf numFmtId="0" fontId="107" fillId="0" borderId="0" xfId="52" applyFont="1" applyFill="1" applyBorder="1" applyAlignment="1">
      <alignment vertical="center"/>
      <protection/>
    </xf>
    <xf numFmtId="3" fontId="9" fillId="0" borderId="85" xfId="51" applyNumberFormat="1" applyFont="1" applyFill="1" applyBorder="1" applyAlignment="1">
      <alignment vertical="center"/>
      <protection/>
    </xf>
    <xf numFmtId="3" fontId="9" fillId="0" borderId="29" xfId="51" applyNumberFormat="1" applyFont="1" applyFill="1" applyBorder="1" applyAlignment="1">
      <alignment vertical="center"/>
      <protection/>
    </xf>
    <xf numFmtId="10" fontId="44" fillId="0" borderId="18" xfId="51" applyNumberFormat="1" applyFont="1" applyFill="1" applyBorder="1" applyAlignment="1">
      <alignment vertical="center"/>
      <protection/>
    </xf>
    <xf numFmtId="3" fontId="107" fillId="0" borderId="18" xfId="52" applyNumberFormat="1" applyFont="1" applyFill="1" applyBorder="1" applyAlignment="1">
      <alignment vertical="center"/>
      <protection/>
    </xf>
    <xf numFmtId="10" fontId="44" fillId="0" borderId="30" xfId="51" applyNumberFormat="1" applyFont="1" applyFill="1" applyBorder="1" applyAlignment="1">
      <alignment vertical="center"/>
      <protection/>
    </xf>
    <xf numFmtId="3" fontId="107" fillId="3" borderId="18" xfId="52" applyNumberFormat="1" applyFont="1" applyFill="1" applyBorder="1" applyAlignment="1">
      <alignment vertical="center"/>
      <protection/>
    </xf>
    <xf numFmtId="3" fontId="107" fillId="0" borderId="31" xfId="52" applyNumberFormat="1" applyFont="1" applyFill="1" applyBorder="1" applyAlignment="1">
      <alignment vertical="center"/>
      <protection/>
    </xf>
    <xf numFmtId="3" fontId="44" fillId="0" borderId="21" xfId="52" applyNumberFormat="1" applyFont="1" applyFill="1" applyBorder="1" applyAlignment="1">
      <alignment vertical="center"/>
      <protection/>
    </xf>
    <xf numFmtId="3" fontId="107" fillId="0" borderId="21" xfId="52" applyNumberFormat="1" applyFont="1" applyFill="1" applyBorder="1" applyAlignment="1">
      <alignment vertical="center"/>
      <protection/>
    </xf>
    <xf numFmtId="9" fontId="44" fillId="0" borderId="22" xfId="52" applyNumberFormat="1" applyFont="1" applyFill="1" applyBorder="1" applyAlignment="1">
      <alignment vertical="center"/>
      <protection/>
    </xf>
    <xf numFmtId="0" fontId="107" fillId="0" borderId="49" xfId="52" applyFont="1" applyFill="1" applyBorder="1" applyAlignment="1">
      <alignment vertical="center"/>
      <protection/>
    </xf>
    <xf numFmtId="3" fontId="107" fillId="3" borderId="21" xfId="52" applyNumberFormat="1" applyFont="1" applyFill="1" applyBorder="1" applyAlignment="1">
      <alignment vertical="center"/>
      <protection/>
    </xf>
    <xf numFmtId="0" fontId="107" fillId="0" borderId="45" xfId="52" applyFont="1" applyBorder="1" applyAlignment="1">
      <alignment horizontal="left" vertical="center"/>
      <protection/>
    </xf>
    <xf numFmtId="0" fontId="107" fillId="0" borderId="59" xfId="52" applyFont="1" applyBorder="1" applyAlignment="1">
      <alignment horizontal="left" vertical="center"/>
      <protection/>
    </xf>
    <xf numFmtId="0" fontId="107" fillId="0" borderId="40" xfId="52" applyFont="1" applyBorder="1" applyAlignment="1">
      <alignment horizontal="left" vertical="center"/>
      <protection/>
    </xf>
    <xf numFmtId="0" fontId="107" fillId="0" borderId="55" xfId="52" applyFont="1" applyBorder="1" applyAlignment="1">
      <alignment horizontal="left" vertical="center"/>
      <protection/>
    </xf>
    <xf numFmtId="0" fontId="107" fillId="0" borderId="16" xfId="52" applyFont="1" applyBorder="1" applyAlignment="1">
      <alignment horizontal="left" vertical="center"/>
      <protection/>
    </xf>
    <xf numFmtId="0" fontId="107" fillId="0" borderId="61" xfId="52" applyFont="1" applyBorder="1" applyAlignment="1">
      <alignment horizontal="left" vertical="center"/>
      <protection/>
    </xf>
    <xf numFmtId="168" fontId="45" fillId="0" borderId="0" xfId="47" applyNumberFormat="1" applyFont="1" applyAlignment="1">
      <alignment vertical="center"/>
      <protection/>
    </xf>
    <xf numFmtId="168" fontId="45" fillId="0" borderId="0" xfId="47" applyNumberFormat="1" applyFont="1" applyAlignment="1">
      <alignment vertical="center" wrapText="1"/>
      <protection/>
    </xf>
    <xf numFmtId="0" fontId="6" fillId="0" borderId="0" xfId="47" applyFont="1" applyAlignment="1">
      <alignment horizontal="center" vertical="center"/>
      <protection/>
    </xf>
    <xf numFmtId="3" fontId="6" fillId="0" borderId="0" xfId="80" applyNumberFormat="1" applyFont="1" applyFill="1" applyAlignment="1">
      <alignment vertical="center"/>
      <protection/>
    </xf>
    <xf numFmtId="170" fontId="35" fillId="0" borderId="23" xfId="61" applyNumberFormat="1" applyFont="1" applyFill="1" applyBorder="1" applyAlignment="1" applyProtection="1">
      <alignment horizontal="right" vertical="center"/>
      <protection/>
    </xf>
    <xf numFmtId="164" fontId="35" fillId="0" borderId="43" xfId="61" applyNumberFormat="1" applyFont="1" applyFill="1" applyBorder="1" applyAlignment="1" applyProtection="1">
      <alignment horizontal="right" vertical="center"/>
      <protection/>
    </xf>
    <xf numFmtId="170" fontId="35" fillId="0" borderId="83" xfId="61" applyNumberFormat="1" applyFont="1" applyFill="1" applyBorder="1" applyAlignment="1" applyProtection="1">
      <alignment horizontal="right" vertical="center"/>
      <protection/>
    </xf>
    <xf numFmtId="170" fontId="35" fillId="0" borderId="36" xfId="61" applyNumberFormat="1" applyFont="1" applyFill="1" applyBorder="1" applyAlignment="1" applyProtection="1">
      <alignment horizontal="right" vertical="center"/>
      <protection/>
    </xf>
    <xf numFmtId="164" fontId="35" fillId="0" borderId="55" xfId="61" applyNumberFormat="1" applyFont="1" applyFill="1" applyBorder="1" applyAlignment="1" applyProtection="1">
      <alignment horizontal="right" vertical="center"/>
      <protection/>
    </xf>
    <xf numFmtId="164" fontId="35" fillId="0" borderId="33" xfId="61" applyNumberFormat="1" applyFont="1" applyFill="1" applyBorder="1" applyAlignment="1" applyProtection="1">
      <alignment horizontal="right" vertical="center"/>
      <protection/>
    </xf>
    <xf numFmtId="164" fontId="36" fillId="10" borderId="58" xfId="84" applyNumberFormat="1" applyFont="1" applyFill="1" applyBorder="1" applyAlignment="1" applyProtection="1">
      <alignment horizontal="right" vertical="center"/>
      <protection/>
    </xf>
    <xf numFmtId="164" fontId="36" fillId="0" borderId="184" xfId="84" applyNumberFormat="1" applyFont="1" applyFill="1" applyBorder="1" applyAlignment="1" applyProtection="1">
      <alignment horizontal="right" vertical="center"/>
      <protection/>
    </xf>
    <xf numFmtId="164" fontId="36" fillId="0" borderId="53" xfId="84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/>
    </xf>
    <xf numFmtId="49" fontId="36" fillId="0" borderId="169" xfId="51" applyNumberFormat="1" applyFont="1" applyFill="1" applyBorder="1" applyAlignment="1" applyProtection="1">
      <alignment horizontal="left" vertical="center"/>
      <protection/>
    </xf>
    <xf numFmtId="49" fontId="36" fillId="0" borderId="51" xfId="51" applyNumberFormat="1" applyFont="1" applyFill="1" applyBorder="1" applyAlignment="1" applyProtection="1">
      <alignment horizontal="left" vertical="center"/>
      <protection/>
    </xf>
    <xf numFmtId="164" fontId="36" fillId="0" borderId="169" xfId="84" applyNumberFormat="1" applyFont="1" applyFill="1" applyBorder="1" applyAlignment="1" applyProtection="1">
      <alignment horizontal="right" vertical="center"/>
      <protection/>
    </xf>
    <xf numFmtId="164" fontId="39" fillId="0" borderId="169" xfId="84" applyNumberFormat="1" applyFont="1" applyFill="1" applyBorder="1" applyAlignment="1" applyProtection="1">
      <alignment horizontal="right" vertical="center"/>
      <protection/>
    </xf>
    <xf numFmtId="164" fontId="36" fillId="10" borderId="72" xfId="84" applyNumberFormat="1" applyFont="1" applyFill="1" applyBorder="1" applyAlignment="1" applyProtection="1">
      <alignment horizontal="right" vertical="center"/>
      <protection/>
    </xf>
    <xf numFmtId="164" fontId="36" fillId="0" borderId="11" xfId="51" applyNumberFormat="1" applyFont="1" applyFill="1" applyBorder="1" applyAlignment="1">
      <alignment horizontal="center" vertical="center"/>
      <protection/>
    </xf>
    <xf numFmtId="0" fontId="35" fillId="0" borderId="14" xfId="51" applyFont="1" applyFill="1" applyBorder="1" applyAlignment="1">
      <alignment horizontal="center" vertical="center" wrapText="1"/>
      <protection/>
    </xf>
    <xf numFmtId="170" fontId="35" fillId="0" borderId="173" xfId="61" applyNumberFormat="1" applyFont="1" applyFill="1" applyBorder="1" applyAlignment="1" applyProtection="1">
      <alignment horizontal="right" vertical="center"/>
      <protection/>
    </xf>
    <xf numFmtId="164" fontId="35" fillId="0" borderId="60" xfId="84" applyNumberFormat="1" applyFont="1" applyFill="1" applyBorder="1" applyAlignment="1" applyProtection="1">
      <alignment horizontal="right" vertical="center"/>
      <protection/>
    </xf>
    <xf numFmtId="170" fontId="35" fillId="0" borderId="51" xfId="61" applyNumberFormat="1" applyFont="1" applyFill="1" applyBorder="1" applyAlignment="1" applyProtection="1">
      <alignment horizontal="right" vertical="center"/>
      <protection/>
    </xf>
    <xf numFmtId="164" fontId="35" fillId="0" borderId="53" xfId="84" applyNumberFormat="1" applyFont="1" applyFill="1" applyBorder="1" applyAlignment="1" applyProtection="1">
      <alignment horizontal="right" vertical="center"/>
      <protection/>
    </xf>
    <xf numFmtId="164" fontId="35" fillId="0" borderId="174" xfId="84" applyNumberFormat="1" applyFont="1" applyFill="1" applyBorder="1" applyAlignment="1" applyProtection="1">
      <alignment horizontal="right" vertical="center"/>
      <protection/>
    </xf>
    <xf numFmtId="170" fontId="35" fillId="0" borderId="43" xfId="51" applyNumberFormat="1" applyFont="1" applyFill="1" applyBorder="1" applyAlignment="1" applyProtection="1">
      <alignment horizontal="right" vertical="center"/>
      <protection/>
    </xf>
    <xf numFmtId="170" fontId="35" fillId="0" borderId="0" xfId="51" applyNumberFormat="1" applyFont="1" applyFill="1" applyBorder="1" applyAlignment="1" applyProtection="1">
      <alignment horizontal="right" vertical="center"/>
      <protection/>
    </xf>
    <xf numFmtId="170" fontId="35" fillId="0" borderId="37" xfId="51" applyNumberFormat="1" applyFont="1" applyFill="1" applyBorder="1" applyAlignment="1" applyProtection="1">
      <alignment horizontal="right" vertical="center"/>
      <protection/>
    </xf>
    <xf numFmtId="171" fontId="35" fillId="0" borderId="176" xfId="51" applyNumberFormat="1" applyFont="1" applyFill="1" applyBorder="1" applyAlignment="1" applyProtection="1">
      <alignment horizontal="right" vertical="center"/>
      <protection/>
    </xf>
    <xf numFmtId="171" fontId="35" fillId="0" borderId="177" xfId="51" applyNumberFormat="1" applyFont="1" applyFill="1" applyBorder="1" applyAlignment="1" applyProtection="1">
      <alignment horizontal="right" vertical="center"/>
      <protection/>
    </xf>
    <xf numFmtId="170" fontId="35" fillId="0" borderId="177" xfId="51" applyNumberFormat="1" applyFont="1" applyFill="1" applyBorder="1" applyAlignment="1" applyProtection="1">
      <alignment horizontal="right" vertical="center"/>
      <protection/>
    </xf>
    <xf numFmtId="164" fontId="35" fillId="0" borderId="175" xfId="84" applyNumberFormat="1" applyFont="1" applyFill="1" applyBorder="1" applyAlignment="1" applyProtection="1">
      <alignment horizontal="right" vertical="center"/>
      <protection/>
    </xf>
    <xf numFmtId="170" fontId="35" fillId="0" borderId="51" xfId="51" applyNumberFormat="1" applyFont="1" applyFill="1" applyBorder="1" applyAlignment="1" applyProtection="1">
      <alignment horizontal="right" vertical="center"/>
      <protection/>
    </xf>
    <xf numFmtId="3" fontId="35" fillId="0" borderId="179" xfId="84" applyNumberFormat="1" applyFont="1" applyFill="1" applyBorder="1" applyAlignment="1" applyProtection="1">
      <alignment horizontal="right" vertical="center"/>
      <protection/>
    </xf>
    <xf numFmtId="0" fontId="117" fillId="0" borderId="0" xfId="0" applyFont="1" applyAlignment="1">
      <alignment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/>
    </xf>
    <xf numFmtId="0" fontId="0" fillId="0" borderId="0" xfId="0" applyAlignment="1">
      <alignment horizontal="center"/>
    </xf>
    <xf numFmtId="3" fontId="106" fillId="0" borderId="65" xfId="80" applyNumberFormat="1" applyFont="1" applyFill="1" applyBorder="1" applyAlignment="1">
      <alignment horizontal="right" vertical="center"/>
      <protection/>
    </xf>
    <xf numFmtId="3" fontId="113" fillId="0" borderId="66" xfId="80" applyNumberFormat="1" applyFont="1" applyFill="1" applyBorder="1" applyAlignment="1">
      <alignment horizontal="right" vertical="center"/>
      <protection/>
    </xf>
    <xf numFmtId="0" fontId="119" fillId="0" borderId="0" xfId="0" applyFont="1" applyAlignment="1">
      <alignment vertical="center"/>
    </xf>
    <xf numFmtId="0" fontId="107" fillId="0" borderId="40" xfId="0" applyFont="1" applyBorder="1" applyAlignment="1">
      <alignment vertical="center"/>
    </xf>
    <xf numFmtId="0" fontId="107" fillId="0" borderId="55" xfId="0" applyFont="1" applyBorder="1" applyAlignment="1">
      <alignment vertical="center"/>
    </xf>
    <xf numFmtId="166" fontId="107" fillId="0" borderId="17" xfId="0" applyNumberFormat="1" applyFont="1" applyBorder="1" applyAlignment="1">
      <alignment horizontal="right" vertical="center"/>
    </xf>
    <xf numFmtId="166" fontId="107" fillId="0" borderId="0" xfId="0" applyNumberFormat="1" applyFont="1" applyBorder="1" applyAlignment="1">
      <alignment horizontal="right" vertical="center"/>
    </xf>
    <xf numFmtId="0" fontId="109" fillId="0" borderId="0" xfId="0" applyFont="1" applyAlignment="1">
      <alignment horizontal="center" vertical="center"/>
    </xf>
    <xf numFmtId="0" fontId="107" fillId="0" borderId="0" xfId="0" applyFont="1" applyAlignment="1">
      <alignment horizontal="right" vertical="center"/>
    </xf>
    <xf numFmtId="0" fontId="109" fillId="0" borderId="138" xfId="0" applyFont="1" applyFill="1" applyBorder="1" applyAlignment="1">
      <alignment horizontal="center" vertical="center" wrapText="1"/>
    </xf>
    <xf numFmtId="0" fontId="109" fillId="0" borderId="125" xfId="0" applyFont="1" applyFill="1" applyBorder="1" applyAlignment="1">
      <alignment horizontal="center" vertical="center" wrapText="1"/>
    </xf>
    <xf numFmtId="49" fontId="24" fillId="0" borderId="94" xfId="0" applyNumberFormat="1" applyFont="1" applyFill="1" applyBorder="1" applyAlignment="1">
      <alignment horizontal="center" vertical="center"/>
    </xf>
    <xf numFmtId="0" fontId="24" fillId="0" borderId="94" xfId="0" applyFont="1" applyFill="1" applyBorder="1" applyAlignment="1">
      <alignment vertical="center"/>
    </xf>
    <xf numFmtId="3" fontId="107" fillId="0" borderId="94" xfId="0" applyNumberFormat="1" applyFont="1" applyBorder="1" applyAlignment="1">
      <alignment horizontal="right" vertical="center" indent="1"/>
    </xf>
    <xf numFmtId="3" fontId="107" fillId="0" borderId="95" xfId="0" applyNumberFormat="1" applyFont="1" applyBorder="1" applyAlignment="1">
      <alignment horizontal="right" vertical="center" indent="1"/>
    </xf>
    <xf numFmtId="3" fontId="109" fillId="0" borderId="194" xfId="0" applyNumberFormat="1" applyFont="1" applyBorder="1" applyAlignment="1">
      <alignment horizontal="right" vertical="center" indent="1"/>
    </xf>
    <xf numFmtId="49" fontId="24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3" fontId="107" fillId="0" borderId="17" xfId="0" applyNumberFormat="1" applyFont="1" applyBorder="1" applyAlignment="1">
      <alignment horizontal="right" vertical="center" indent="1"/>
    </xf>
    <xf numFmtId="3" fontId="107" fillId="0" borderId="40" xfId="0" applyNumberFormat="1" applyFont="1" applyBorder="1" applyAlignment="1">
      <alignment horizontal="right" vertical="center" indent="1"/>
    </xf>
    <xf numFmtId="3" fontId="109" fillId="0" borderId="28" xfId="0" applyNumberFormat="1" applyFont="1" applyBorder="1" applyAlignment="1">
      <alignment horizontal="right" vertical="center" indent="1"/>
    </xf>
    <xf numFmtId="3" fontId="109" fillId="0" borderId="28" xfId="0" applyNumberFormat="1" applyFont="1" applyBorder="1" applyAlignment="1" quotePrefix="1">
      <alignment horizontal="right" vertical="center" indent="1"/>
    </xf>
    <xf numFmtId="49" fontId="24" fillId="0" borderId="47" xfId="0" applyNumberFormat="1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vertical="center"/>
    </xf>
    <xf numFmtId="0" fontId="109" fillId="0" borderId="195" xfId="0" applyFont="1" applyFill="1" applyBorder="1" applyAlignment="1">
      <alignment horizontal="center" vertical="center"/>
    </xf>
    <xf numFmtId="0" fontId="42" fillId="0" borderId="196" xfId="0" applyFont="1" applyFill="1" applyBorder="1" applyAlignment="1">
      <alignment vertical="center"/>
    </xf>
    <xf numFmtId="3" fontId="109" fillId="0" borderId="197" xfId="0" applyNumberFormat="1" applyFont="1" applyFill="1" applyBorder="1" applyAlignment="1">
      <alignment horizontal="right" vertical="center" indent="1"/>
    </xf>
    <xf numFmtId="3" fontId="109" fillId="0" borderId="198" xfId="0" applyNumberFormat="1" applyFont="1" applyFill="1" applyBorder="1" applyAlignment="1">
      <alignment horizontal="right" vertical="center" indent="1"/>
    </xf>
    <xf numFmtId="3" fontId="109" fillId="0" borderId="199" xfId="0" applyNumberFormat="1" applyFont="1" applyFill="1" applyBorder="1" applyAlignment="1">
      <alignment horizontal="right" vertical="center" indent="1"/>
    </xf>
    <xf numFmtId="0" fontId="109" fillId="0" borderId="0" xfId="0" applyFont="1" applyFill="1" applyAlignment="1">
      <alignment vertical="center"/>
    </xf>
    <xf numFmtId="0" fontId="120" fillId="0" borderId="0" xfId="0" applyFont="1" applyFill="1" applyAlignment="1">
      <alignment vertical="center"/>
    </xf>
    <xf numFmtId="3" fontId="121" fillId="0" borderId="0" xfId="0" applyNumberFormat="1" applyFont="1" applyFill="1" applyAlignment="1">
      <alignment vertical="center"/>
    </xf>
    <xf numFmtId="0" fontId="120" fillId="0" borderId="0" xfId="0" applyFont="1" applyAlignment="1">
      <alignment vertical="center"/>
    </xf>
    <xf numFmtId="164" fontId="121" fillId="0" borderId="0" xfId="0" applyNumberFormat="1" applyFont="1" applyAlignment="1">
      <alignment vertical="center"/>
    </xf>
    <xf numFmtId="0" fontId="1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2" fillId="0" borderId="0" xfId="0" applyFont="1" applyAlignment="1">
      <alignment/>
    </xf>
    <xf numFmtId="0" fontId="107" fillId="0" borderId="40" xfId="0" applyFont="1" applyBorder="1" applyAlignment="1">
      <alignment/>
    </xf>
    <xf numFmtId="0" fontId="107" fillId="0" borderId="43" xfId="0" applyFont="1" applyBorder="1" applyAlignment="1">
      <alignment/>
    </xf>
    <xf numFmtId="0" fontId="107" fillId="0" borderId="55" xfId="0" applyFont="1" applyBorder="1" applyAlignment="1">
      <alignment/>
    </xf>
    <xf numFmtId="3" fontId="107" fillId="0" borderId="17" xfId="0" applyNumberFormat="1" applyFont="1" applyBorder="1" applyAlignment="1">
      <alignment/>
    </xf>
    <xf numFmtId="174" fontId="107" fillId="0" borderId="17" xfId="0" applyNumberFormat="1" applyFont="1" applyBorder="1" applyAlignment="1">
      <alignment horizontal="right"/>
    </xf>
    <xf numFmtId="0" fontId="107" fillId="0" borderId="0" xfId="0" applyFont="1" applyBorder="1" applyAlignment="1">
      <alignment horizontal="left"/>
    </xf>
    <xf numFmtId="174" fontId="107" fillId="0" borderId="0" xfId="0" applyNumberFormat="1" applyFont="1" applyBorder="1" applyAlignment="1">
      <alignment horizontal="right"/>
    </xf>
    <xf numFmtId="0" fontId="109" fillId="0" borderId="18" xfId="0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49" fontId="24" fillId="0" borderId="80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3" fontId="9" fillId="0" borderId="15" xfId="51" applyNumberFormat="1" applyFont="1" applyFill="1" applyBorder="1" applyAlignment="1">
      <alignment horizontal="right" indent="1"/>
      <protection/>
    </xf>
    <xf numFmtId="3" fontId="9" fillId="0" borderId="16" xfId="51" applyNumberFormat="1" applyFont="1" applyFill="1" applyBorder="1" applyAlignment="1">
      <alignment horizontal="right" indent="1"/>
      <protection/>
    </xf>
    <xf numFmtId="3" fontId="109" fillId="0" borderId="200" xfId="0" applyNumberFormat="1" applyFont="1" applyBorder="1" applyAlignment="1">
      <alignment horizontal="right" indent="1"/>
    </xf>
    <xf numFmtId="49" fontId="24" fillId="0" borderId="2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3" fontId="9" fillId="0" borderId="17" xfId="51" applyNumberFormat="1" applyFont="1" applyFill="1" applyBorder="1" applyAlignment="1">
      <alignment horizontal="right" indent="1"/>
      <protection/>
    </xf>
    <xf numFmtId="3" fontId="9" fillId="0" borderId="40" xfId="51" applyNumberFormat="1" applyFont="1" applyFill="1" applyBorder="1" applyAlignment="1">
      <alignment horizontal="right" indent="1"/>
      <protection/>
    </xf>
    <xf numFmtId="3" fontId="107" fillId="0" borderId="17" xfId="0" applyNumberFormat="1" applyFont="1" applyFill="1" applyBorder="1" applyAlignment="1">
      <alignment horizontal="right" indent="1"/>
    </xf>
    <xf numFmtId="3" fontId="107" fillId="0" borderId="40" xfId="0" applyNumberFormat="1" applyFont="1" applyFill="1" applyBorder="1" applyAlignment="1">
      <alignment horizontal="right" indent="1"/>
    </xf>
    <xf numFmtId="3" fontId="109" fillId="0" borderId="200" xfId="0" applyNumberFormat="1" applyFont="1" applyBorder="1" applyAlignment="1" quotePrefix="1">
      <alignment horizontal="right" indent="1"/>
    </xf>
    <xf numFmtId="49" fontId="24" fillId="0" borderId="44" xfId="0" applyNumberFormat="1" applyFont="1" applyFill="1" applyBorder="1" applyAlignment="1">
      <alignment horizontal="center"/>
    </xf>
    <xf numFmtId="0" fontId="24" fillId="0" borderId="47" xfId="0" applyFont="1" applyFill="1" applyBorder="1" applyAlignment="1">
      <alignment/>
    </xf>
    <xf numFmtId="3" fontId="107" fillId="0" borderId="47" xfId="0" applyNumberFormat="1" applyFont="1" applyFill="1" applyBorder="1" applyAlignment="1">
      <alignment horizontal="right" indent="1"/>
    </xf>
    <xf numFmtId="3" fontId="107" fillId="0" borderId="45" xfId="0" applyNumberFormat="1" applyFont="1" applyFill="1" applyBorder="1" applyAlignment="1">
      <alignment horizontal="right" indent="1"/>
    </xf>
    <xf numFmtId="0" fontId="109" fillId="0" borderId="49" xfId="0" applyFont="1" applyBorder="1" applyAlignment="1">
      <alignment/>
    </xf>
    <xf numFmtId="0" fontId="109" fillId="0" borderId="58" xfId="0" applyFont="1" applyBorder="1" applyAlignment="1">
      <alignment/>
    </xf>
    <xf numFmtId="3" fontId="109" fillId="0" borderId="10" xfId="0" applyNumberFormat="1" applyFont="1" applyFill="1" applyBorder="1" applyAlignment="1">
      <alignment horizontal="right" indent="1"/>
    </xf>
    <xf numFmtId="3" fontId="109" fillId="0" borderId="11" xfId="0" applyNumberFormat="1" applyFont="1" applyFill="1" applyBorder="1" applyAlignment="1">
      <alignment horizontal="right" indent="1"/>
    </xf>
    <xf numFmtId="3" fontId="109" fillId="0" borderId="81" xfId="0" applyNumberFormat="1" applyFont="1" applyBorder="1" applyAlignment="1">
      <alignment horizontal="right" indent="1"/>
    </xf>
    <xf numFmtId="0" fontId="120" fillId="0" borderId="0" xfId="0" applyFont="1" applyAlignment="1">
      <alignment/>
    </xf>
    <xf numFmtId="0" fontId="120" fillId="0" borderId="0" xfId="0" applyFont="1" applyAlignment="1">
      <alignment horizontal="center"/>
    </xf>
    <xf numFmtId="3" fontId="107" fillId="0" borderId="80" xfId="0" applyNumberFormat="1" applyFont="1" applyBorder="1" applyAlignment="1">
      <alignment vertical="center"/>
    </xf>
    <xf numFmtId="3" fontId="107" fillId="0" borderId="16" xfId="0" applyNumberFormat="1" applyFont="1" applyBorder="1" applyAlignment="1">
      <alignment vertical="center"/>
    </xf>
    <xf numFmtId="3" fontId="107" fillId="0" borderId="200" xfId="0" applyNumberFormat="1" applyFont="1" applyBorder="1" applyAlignment="1">
      <alignment vertical="center"/>
    </xf>
    <xf numFmtId="3" fontId="107" fillId="0" borderId="27" xfId="0" applyNumberFormat="1" applyFont="1" applyBorder="1" applyAlignment="1">
      <alignment vertical="center"/>
    </xf>
    <xf numFmtId="3" fontId="107" fillId="0" borderId="40" xfId="0" applyNumberFormat="1" applyFont="1" applyBorder="1" applyAlignment="1">
      <alignment vertical="center"/>
    </xf>
    <xf numFmtId="3" fontId="107" fillId="0" borderId="201" xfId="0" applyNumberFormat="1" applyFont="1" applyBorder="1" applyAlignment="1">
      <alignment vertical="center"/>
    </xf>
    <xf numFmtId="3" fontId="107" fillId="0" borderId="44" xfId="0" applyNumberFormat="1" applyFont="1" applyBorder="1" applyAlignment="1">
      <alignment vertical="center"/>
    </xf>
    <xf numFmtId="3" fontId="107" fillId="0" borderId="45" xfId="0" applyNumberFormat="1" applyFont="1" applyBorder="1" applyAlignment="1">
      <alignment vertical="center"/>
    </xf>
    <xf numFmtId="3" fontId="107" fillId="0" borderId="202" xfId="0" applyNumberFormat="1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3" fontId="109" fillId="0" borderId="14" xfId="0" applyNumberFormat="1" applyFont="1" applyBorder="1" applyAlignment="1">
      <alignment vertical="center"/>
    </xf>
    <xf numFmtId="3" fontId="109" fillId="0" borderId="203" xfId="0" applyNumberFormat="1" applyFont="1" applyBorder="1" applyAlignment="1">
      <alignment vertical="center"/>
    </xf>
    <xf numFmtId="3" fontId="109" fillId="0" borderId="201" xfId="0" applyNumberFormat="1" applyFont="1" applyBorder="1" applyAlignment="1">
      <alignment vertical="center"/>
    </xf>
    <xf numFmtId="3" fontId="107" fillId="0" borderId="29" xfId="0" applyNumberFormat="1" applyFont="1" applyBorder="1" applyAlignment="1">
      <alignment vertical="center"/>
    </xf>
    <xf numFmtId="3" fontId="107" fillId="0" borderId="19" xfId="0" applyNumberFormat="1" applyFont="1" applyBorder="1" applyAlignment="1">
      <alignment vertical="center"/>
    </xf>
    <xf numFmtId="3" fontId="109" fillId="0" borderId="204" xfId="0" applyNumberFormat="1" applyFont="1" applyBorder="1" applyAlignment="1">
      <alignment vertical="center"/>
    </xf>
    <xf numFmtId="0" fontId="123" fillId="0" borderId="0" xfId="0" applyFont="1" applyAlignment="1">
      <alignment vertical="center"/>
    </xf>
    <xf numFmtId="0" fontId="109" fillId="0" borderId="0" xfId="0" applyFont="1" applyBorder="1" applyAlignment="1">
      <alignment horizontal="left"/>
    </xf>
    <xf numFmtId="0" fontId="27" fillId="0" borderId="81" xfId="0" applyFont="1" applyBorder="1" applyAlignment="1">
      <alignment horizontal="center" vertical="center" wrapText="1"/>
    </xf>
    <xf numFmtId="0" fontId="109" fillId="0" borderId="58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81" xfId="0" applyFont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0" fontId="107" fillId="33" borderId="201" xfId="0" applyFont="1" applyFill="1" applyBorder="1" applyAlignment="1">
      <alignment/>
    </xf>
    <xf numFmtId="3" fontId="9" fillId="0" borderId="55" xfId="0" applyNumberFormat="1" applyFont="1" applyBorder="1" applyAlignment="1">
      <alignment/>
    </xf>
    <xf numFmtId="3" fontId="9" fillId="33" borderId="17" xfId="0" applyNumberFormat="1" applyFont="1" applyFill="1" applyBorder="1" applyAlignment="1">
      <alignment/>
    </xf>
    <xf numFmtId="3" fontId="9" fillId="33" borderId="40" xfId="0" applyNumberFormat="1" applyFont="1" applyFill="1" applyBorder="1" applyAlignment="1">
      <alignment/>
    </xf>
    <xf numFmtId="3" fontId="124" fillId="0" borderId="201" xfId="0" applyNumberFormat="1" applyFont="1" applyBorder="1" applyAlignment="1">
      <alignment/>
    </xf>
    <xf numFmtId="3" fontId="9" fillId="33" borderId="55" xfId="0" applyNumberFormat="1" applyFont="1" applyFill="1" applyBorder="1" applyAlignment="1">
      <alignment/>
    </xf>
    <xf numFmtId="3" fontId="124" fillId="33" borderId="201" xfId="0" applyNumberFormat="1" applyFont="1" applyFill="1" applyBorder="1" applyAlignment="1">
      <alignment/>
    </xf>
    <xf numFmtId="0" fontId="107" fillId="0" borderId="201" xfId="0" applyFont="1" applyBorder="1" applyAlignment="1">
      <alignment/>
    </xf>
    <xf numFmtId="3" fontId="124" fillId="33" borderId="17" xfId="0" applyNumberFormat="1" applyFont="1" applyFill="1" applyBorder="1" applyAlignment="1">
      <alignment/>
    </xf>
    <xf numFmtId="3" fontId="124" fillId="33" borderId="40" xfId="0" applyNumberFormat="1" applyFont="1" applyFill="1" applyBorder="1" applyAlignment="1">
      <alignment/>
    </xf>
    <xf numFmtId="3" fontId="107" fillId="33" borderId="17" xfId="0" applyNumberFormat="1" applyFont="1" applyFill="1" applyBorder="1" applyAlignment="1">
      <alignment/>
    </xf>
    <xf numFmtId="3" fontId="107" fillId="33" borderId="40" xfId="0" applyNumberFormat="1" applyFont="1" applyFill="1" applyBorder="1" applyAlignment="1">
      <alignment/>
    </xf>
    <xf numFmtId="0" fontId="107" fillId="33" borderId="202" xfId="0" applyFont="1" applyFill="1" applyBorder="1" applyAlignment="1">
      <alignment/>
    </xf>
    <xf numFmtId="0" fontId="109" fillId="0" borderId="81" xfId="0" applyFont="1" applyBorder="1" applyAlignment="1">
      <alignment/>
    </xf>
    <xf numFmtId="3" fontId="125" fillId="0" borderId="58" xfId="0" applyNumberFormat="1" applyFont="1" applyBorder="1" applyAlignment="1">
      <alignment/>
    </xf>
    <xf numFmtId="3" fontId="125" fillId="0" borderId="10" xfId="0" applyNumberFormat="1" applyFont="1" applyBorder="1" applyAlignment="1">
      <alignment/>
    </xf>
    <xf numFmtId="3" fontId="125" fillId="0" borderId="11" xfId="0" applyNumberFormat="1" applyFont="1" applyBorder="1" applyAlignment="1">
      <alignment/>
    </xf>
    <xf numFmtId="3" fontId="125" fillId="0" borderId="81" xfId="0" applyNumberFormat="1" applyFont="1" applyBorder="1" applyAlignment="1">
      <alignment/>
    </xf>
    <xf numFmtId="0" fontId="10" fillId="0" borderId="27" xfId="80" applyFont="1" applyFill="1" applyBorder="1" applyAlignment="1">
      <alignment vertical="center"/>
      <protection/>
    </xf>
    <xf numFmtId="0" fontId="10" fillId="0" borderId="13" xfId="80" applyFont="1" applyFill="1" applyBorder="1" applyAlignment="1">
      <alignment vertical="center"/>
      <protection/>
    </xf>
    <xf numFmtId="0" fontId="6" fillId="33" borderId="40" xfId="80" applyFont="1" applyFill="1" applyBorder="1" applyAlignment="1">
      <alignment vertical="center"/>
      <protection/>
    </xf>
    <xf numFmtId="0" fontId="107" fillId="0" borderId="203" xfId="0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3" fontId="9" fillId="33" borderId="47" xfId="0" applyNumberFormat="1" applyFont="1" applyFill="1" applyBorder="1" applyAlignment="1">
      <alignment/>
    </xf>
    <xf numFmtId="3" fontId="9" fillId="33" borderId="45" xfId="0" applyNumberFormat="1" applyFont="1" applyFill="1" applyBorder="1" applyAlignment="1">
      <alignment/>
    </xf>
    <xf numFmtId="3" fontId="124" fillId="0" borderId="203" xfId="0" applyNumberFormat="1" applyFont="1" applyBorder="1" applyAlignment="1">
      <alignment/>
    </xf>
    <xf numFmtId="3" fontId="124" fillId="0" borderId="202" xfId="0" applyNumberFormat="1" applyFont="1" applyBorder="1" applyAlignment="1">
      <alignment/>
    </xf>
    <xf numFmtId="0" fontId="109" fillId="0" borderId="20" xfId="0" applyFont="1" applyBorder="1" applyAlignment="1">
      <alignment horizontal="center" vertical="center" wrapText="1"/>
    </xf>
    <xf numFmtId="0" fontId="107" fillId="0" borderId="185" xfId="0" applyFont="1" applyBorder="1" applyAlignment="1">
      <alignment vertical="center"/>
    </xf>
    <xf numFmtId="0" fontId="107" fillId="0" borderId="33" xfId="0" applyFont="1" applyBorder="1" applyAlignment="1">
      <alignment vertical="center"/>
    </xf>
    <xf numFmtId="0" fontId="107" fillId="0" borderId="44" xfId="0" applyFont="1" applyBorder="1" applyAlignment="1">
      <alignment horizontal="center" vertical="center"/>
    </xf>
    <xf numFmtId="0" fontId="107" fillId="0" borderId="183" xfId="0" applyFont="1" applyBorder="1" applyAlignment="1">
      <alignment vertical="center"/>
    </xf>
    <xf numFmtId="0" fontId="109" fillId="0" borderId="72" xfId="0" applyFont="1" applyBorder="1" applyAlignment="1">
      <alignment horizontal="center" vertical="center"/>
    </xf>
    <xf numFmtId="3" fontId="109" fillId="0" borderId="20" xfId="0" applyNumberFormat="1" applyFont="1" applyBorder="1" applyAlignment="1">
      <alignment horizontal="center" vertical="center" wrapText="1"/>
    </xf>
    <xf numFmtId="3" fontId="109" fillId="0" borderId="11" xfId="0" applyNumberFormat="1" applyFont="1" applyBorder="1" applyAlignment="1">
      <alignment horizontal="center" vertical="center" wrapText="1"/>
    </xf>
    <xf numFmtId="3" fontId="109" fillId="0" borderId="8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10" fillId="33" borderId="80" xfId="80" applyFont="1" applyFill="1" applyBorder="1" applyAlignment="1">
      <alignment vertical="center"/>
      <protection/>
    </xf>
    <xf numFmtId="0" fontId="7" fillId="33" borderId="19" xfId="80" applyFont="1" applyFill="1" applyBorder="1" applyAlignment="1">
      <alignment horizontal="left" vertical="center"/>
      <protection/>
    </xf>
    <xf numFmtId="0" fontId="7" fillId="33" borderId="86" xfId="80" applyFont="1" applyFill="1" applyBorder="1" applyAlignment="1">
      <alignment horizontal="left" vertical="center"/>
      <protection/>
    </xf>
    <xf numFmtId="0" fontId="6" fillId="0" borderId="40" xfId="80" applyFont="1" applyFill="1" applyBorder="1" applyAlignment="1">
      <alignment horizontal="left" vertical="center"/>
      <protection/>
    </xf>
    <xf numFmtId="0" fontId="6" fillId="0" borderId="43" xfId="80" applyFont="1" applyFill="1" applyBorder="1" applyAlignment="1">
      <alignment horizontal="left" vertical="center"/>
      <protection/>
    </xf>
    <xf numFmtId="0" fontId="6" fillId="0" borderId="19" xfId="80" applyFont="1" applyFill="1" applyBorder="1" applyAlignment="1">
      <alignment horizontal="left" vertical="center"/>
      <protection/>
    </xf>
    <xf numFmtId="0" fontId="6" fillId="0" borderId="86" xfId="80" applyFont="1" applyFill="1" applyBorder="1" applyAlignment="1">
      <alignment horizontal="left" vertical="center"/>
      <protection/>
    </xf>
    <xf numFmtId="0" fontId="13" fillId="33" borderId="11" xfId="80" applyFont="1" applyFill="1" applyBorder="1" applyAlignment="1">
      <alignment horizontal="left" vertical="center"/>
      <protection/>
    </xf>
    <xf numFmtId="0" fontId="13" fillId="33" borderId="38" xfId="80" applyFont="1" applyFill="1" applyBorder="1" applyAlignment="1">
      <alignment horizontal="left" vertical="center"/>
      <protection/>
    </xf>
    <xf numFmtId="0" fontId="3" fillId="33" borderId="0" xfId="80" applyFont="1" applyFill="1" applyAlignment="1">
      <alignment horizontal="center" vertical="center" wrapText="1"/>
      <protection/>
    </xf>
    <xf numFmtId="0" fontId="13" fillId="33" borderId="51" xfId="80" applyFont="1" applyFill="1" applyBorder="1" applyAlignment="1">
      <alignment horizontal="left" vertical="center"/>
      <protection/>
    </xf>
    <xf numFmtId="0" fontId="13" fillId="33" borderId="60" xfId="80" applyFont="1" applyFill="1" applyBorder="1" applyAlignment="1">
      <alignment horizontal="left" vertical="center"/>
      <protection/>
    </xf>
    <xf numFmtId="0" fontId="7" fillId="33" borderId="40" xfId="80" applyFont="1" applyFill="1" applyBorder="1" applyAlignment="1">
      <alignment horizontal="left" vertical="center"/>
      <protection/>
    </xf>
    <xf numFmtId="0" fontId="7" fillId="33" borderId="43" xfId="80" applyFont="1" applyFill="1" applyBorder="1" applyAlignment="1">
      <alignment horizontal="left" vertical="center"/>
      <protection/>
    </xf>
    <xf numFmtId="10" fontId="102" fillId="0" borderId="13" xfId="80" applyNumberFormat="1" applyFont="1" applyFill="1" applyBorder="1" applyAlignment="1">
      <alignment horizontal="center" vertical="center" wrapText="1"/>
      <protection/>
    </xf>
    <xf numFmtId="10" fontId="102" fillId="0" borderId="17" xfId="80" applyNumberFormat="1" applyFont="1" applyFill="1" applyBorder="1" applyAlignment="1">
      <alignment horizontal="center" vertical="center" wrapText="1"/>
      <protection/>
    </xf>
    <xf numFmtId="10" fontId="102" fillId="0" borderId="18" xfId="80" applyNumberFormat="1" applyFont="1" applyFill="1" applyBorder="1" applyAlignment="1">
      <alignment horizontal="center" vertical="center" wrapText="1"/>
      <protection/>
    </xf>
    <xf numFmtId="49" fontId="5" fillId="0" borderId="13" xfId="80" applyNumberFormat="1" applyFont="1" applyFill="1" applyBorder="1" applyAlignment="1">
      <alignment horizontal="center" vertical="center" wrapText="1"/>
      <protection/>
    </xf>
    <xf numFmtId="49" fontId="5" fillId="0" borderId="17" xfId="80" applyNumberFormat="1" applyFont="1" applyFill="1" applyBorder="1" applyAlignment="1">
      <alignment horizontal="center" vertical="center" wrapText="1"/>
      <protection/>
    </xf>
    <xf numFmtId="49" fontId="5" fillId="0" borderId="18" xfId="80" applyNumberFormat="1" applyFont="1" applyFill="1" applyBorder="1" applyAlignment="1">
      <alignment horizontal="center" vertical="center" wrapText="1"/>
      <protection/>
    </xf>
    <xf numFmtId="49" fontId="102" fillId="0" borderId="14" xfId="80" applyNumberFormat="1" applyFont="1" applyFill="1" applyBorder="1" applyAlignment="1">
      <alignment horizontal="center" vertical="center" wrapText="1"/>
      <protection/>
    </xf>
    <xf numFmtId="49" fontId="102" fillId="0" borderId="40" xfId="80" applyNumberFormat="1" applyFont="1" applyFill="1" applyBorder="1" applyAlignment="1">
      <alignment horizontal="center" vertical="center" wrapText="1"/>
      <protection/>
    </xf>
    <xf numFmtId="49" fontId="102" fillId="0" borderId="19" xfId="80" applyNumberFormat="1" applyFont="1" applyFill="1" applyBorder="1" applyAlignment="1">
      <alignment horizontal="center" vertical="center" wrapText="1"/>
      <protection/>
    </xf>
    <xf numFmtId="1" fontId="5" fillId="0" borderId="11" xfId="80" applyNumberFormat="1" applyFont="1" applyFill="1" applyBorder="1" applyAlignment="1">
      <alignment horizontal="center" vertical="center"/>
      <protection/>
    </xf>
    <xf numFmtId="1" fontId="5" fillId="0" borderId="38" xfId="80" applyNumberFormat="1" applyFont="1" applyFill="1" applyBorder="1" applyAlignment="1">
      <alignment horizontal="center" vertical="center"/>
      <protection/>
    </xf>
    <xf numFmtId="0" fontId="6" fillId="0" borderId="14" xfId="80" applyFont="1" applyFill="1" applyBorder="1" applyAlignment="1">
      <alignment horizontal="left" vertical="center"/>
      <protection/>
    </xf>
    <xf numFmtId="0" fontId="6" fillId="0" borderId="50" xfId="80" applyFont="1" applyFill="1" applyBorder="1" applyAlignment="1">
      <alignment horizontal="left" vertical="center"/>
      <protection/>
    </xf>
    <xf numFmtId="0" fontId="6" fillId="33" borderId="14" xfId="80" applyFont="1" applyFill="1" applyBorder="1" applyAlignment="1">
      <alignment horizontal="left" vertical="center"/>
      <protection/>
    </xf>
    <xf numFmtId="0" fontId="6" fillId="33" borderId="50" xfId="80" applyFont="1" applyFill="1" applyBorder="1" applyAlignment="1">
      <alignment horizontal="left" vertical="center"/>
      <protection/>
    </xf>
    <xf numFmtId="0" fontId="6" fillId="33" borderId="40" xfId="80" applyFont="1" applyFill="1" applyBorder="1" applyAlignment="1">
      <alignment horizontal="left" vertical="center"/>
      <protection/>
    </xf>
    <xf numFmtId="0" fontId="6" fillId="33" borderId="43" xfId="80" applyFont="1" applyFill="1" applyBorder="1" applyAlignment="1">
      <alignment horizontal="left" vertical="center"/>
      <protection/>
    </xf>
    <xf numFmtId="0" fontId="5" fillId="33" borderId="27" xfId="80" applyFont="1" applyFill="1" applyBorder="1" applyAlignment="1">
      <alignment horizontal="left" vertical="center" wrapText="1"/>
      <protection/>
    </xf>
    <xf numFmtId="0" fontId="5" fillId="33" borderId="17" xfId="80" applyFont="1" applyFill="1" applyBorder="1" applyAlignment="1">
      <alignment horizontal="left" vertical="center" wrapText="1"/>
      <protection/>
    </xf>
    <xf numFmtId="0" fontId="6" fillId="33" borderId="0" xfId="80" applyFont="1" applyFill="1" applyBorder="1" applyAlignment="1">
      <alignment horizontal="center" vertical="center"/>
      <protection/>
    </xf>
    <xf numFmtId="0" fontId="5" fillId="33" borderId="29" xfId="80" applyFont="1" applyFill="1" applyBorder="1" applyAlignment="1">
      <alignment horizontal="left" vertical="center" wrapText="1"/>
      <protection/>
    </xf>
    <xf numFmtId="0" fontId="5" fillId="33" borderId="18" xfId="80" applyFont="1" applyFill="1" applyBorder="1" applyAlignment="1">
      <alignment horizontal="left" vertical="center" wrapText="1"/>
      <protection/>
    </xf>
    <xf numFmtId="0" fontId="10" fillId="33" borderId="0" xfId="80" applyFont="1" applyFill="1" applyBorder="1" applyAlignment="1">
      <alignment horizontal="left" vertical="center"/>
      <protection/>
    </xf>
    <xf numFmtId="0" fontId="5" fillId="0" borderId="79" xfId="80" applyFont="1" applyFill="1" applyBorder="1" applyAlignment="1">
      <alignment horizontal="center" vertical="center" textRotation="90" wrapText="1"/>
      <protection/>
    </xf>
    <xf numFmtId="0" fontId="5" fillId="0" borderId="62" xfId="80" applyFont="1" applyFill="1" applyBorder="1" applyAlignment="1">
      <alignment horizontal="center" vertical="center" textRotation="90" wrapText="1"/>
      <protection/>
    </xf>
    <xf numFmtId="0" fontId="5" fillId="0" borderId="52" xfId="80" applyFont="1" applyFill="1" applyBorder="1" applyAlignment="1">
      <alignment horizontal="center" vertical="center" textRotation="90" wrapText="1"/>
      <protection/>
    </xf>
    <xf numFmtId="0" fontId="5" fillId="0" borderId="169" xfId="80" applyFont="1" applyFill="1" applyBorder="1" applyAlignment="1">
      <alignment horizontal="center" vertical="center" textRotation="90" wrapText="1"/>
      <protection/>
    </xf>
    <xf numFmtId="0" fontId="5" fillId="0" borderId="122" xfId="80" applyFont="1" applyFill="1" applyBorder="1" applyAlignment="1">
      <alignment horizontal="center" vertical="center" wrapText="1"/>
      <protection/>
    </xf>
    <xf numFmtId="0" fontId="5" fillId="0" borderId="41" xfId="80" applyFont="1" applyFill="1" applyBorder="1" applyAlignment="1">
      <alignment horizontal="center" vertical="center" wrapText="1"/>
      <protection/>
    </xf>
    <xf numFmtId="0" fontId="5" fillId="0" borderId="54" xfId="80" applyFont="1" applyFill="1" applyBorder="1" applyAlignment="1">
      <alignment horizontal="center" vertical="center" wrapText="1"/>
      <protection/>
    </xf>
    <xf numFmtId="0" fontId="5" fillId="0" borderId="23" xfId="80" applyFont="1" applyFill="1" applyBorder="1" applyAlignment="1">
      <alignment horizontal="center" vertical="center" wrapText="1"/>
      <protection/>
    </xf>
    <xf numFmtId="0" fontId="5" fillId="0" borderId="0" xfId="80" applyFont="1" applyFill="1" applyBorder="1" applyAlignment="1">
      <alignment horizontal="center" vertical="center" wrapText="1"/>
      <protection/>
    </xf>
    <xf numFmtId="0" fontId="5" fillId="0" borderId="184" xfId="80" applyFont="1" applyFill="1" applyBorder="1" applyAlignment="1">
      <alignment horizontal="center" vertical="center" wrapText="1"/>
      <protection/>
    </xf>
    <xf numFmtId="0" fontId="5" fillId="0" borderId="173" xfId="80" applyFont="1" applyFill="1" applyBorder="1" applyAlignment="1">
      <alignment horizontal="center" vertical="center" wrapText="1"/>
      <protection/>
    </xf>
    <xf numFmtId="0" fontId="5" fillId="0" borderId="60" xfId="80" applyFont="1" applyFill="1" applyBorder="1" applyAlignment="1">
      <alignment horizontal="center" vertical="center" wrapText="1"/>
      <protection/>
    </xf>
    <xf numFmtId="0" fontId="5" fillId="0" borderId="53" xfId="80" applyFont="1" applyFill="1" applyBorder="1" applyAlignment="1">
      <alignment horizontal="center" vertical="center" wrapText="1"/>
      <protection/>
    </xf>
    <xf numFmtId="49" fontId="5" fillId="0" borderId="12" xfId="80" applyNumberFormat="1" applyFont="1" applyFill="1" applyBorder="1" applyAlignment="1">
      <alignment horizontal="center" vertical="center" wrapText="1"/>
      <protection/>
    </xf>
    <xf numFmtId="49" fontId="5" fillId="0" borderId="71" xfId="80" applyNumberFormat="1" applyFont="1" applyFill="1" applyBorder="1" applyAlignment="1">
      <alignment horizontal="center" vertical="center" wrapText="1"/>
      <protection/>
    </xf>
    <xf numFmtId="49" fontId="5" fillId="0" borderId="21" xfId="80" applyNumberFormat="1" applyFont="1" applyFill="1" applyBorder="1" applyAlignment="1">
      <alignment horizontal="center" vertical="center" wrapText="1"/>
      <protection/>
    </xf>
    <xf numFmtId="49" fontId="5" fillId="0" borderId="205" xfId="80" applyNumberFormat="1" applyFont="1" applyFill="1" applyBorder="1" applyAlignment="1">
      <alignment horizontal="center" vertical="center" wrapText="1"/>
      <protection/>
    </xf>
    <xf numFmtId="49" fontId="5" fillId="0" borderId="66" xfId="80" applyNumberFormat="1" applyFont="1" applyFill="1" applyBorder="1" applyAlignment="1">
      <alignment horizontal="center" vertical="center" wrapText="1"/>
      <protection/>
    </xf>
    <xf numFmtId="49" fontId="5" fillId="0" borderId="152" xfId="80" applyNumberFormat="1" applyFont="1" applyFill="1" applyBorder="1" applyAlignment="1">
      <alignment horizontal="center" vertical="center" wrapText="1"/>
      <protection/>
    </xf>
    <xf numFmtId="10" fontId="102" fillId="0" borderId="57" xfId="80" applyNumberFormat="1" applyFont="1" applyFill="1" applyBorder="1" applyAlignment="1">
      <alignment horizontal="center" vertical="center" wrapText="1"/>
      <protection/>
    </xf>
    <xf numFmtId="10" fontId="102" fillId="0" borderId="55" xfId="80" applyNumberFormat="1" applyFont="1" applyFill="1" applyBorder="1" applyAlignment="1">
      <alignment horizontal="center" vertical="center" wrapText="1"/>
      <protection/>
    </xf>
    <xf numFmtId="10" fontId="102" fillId="0" borderId="56" xfId="80" applyNumberFormat="1" applyFont="1" applyFill="1" applyBorder="1" applyAlignment="1">
      <alignment horizontal="center" vertical="center" wrapText="1"/>
      <protection/>
    </xf>
    <xf numFmtId="49" fontId="102" fillId="0" borderId="35" xfId="80" applyNumberFormat="1" applyFont="1" applyFill="1" applyBorder="1" applyAlignment="1">
      <alignment horizontal="center" vertical="center" wrapText="1"/>
      <protection/>
    </xf>
    <xf numFmtId="49" fontId="102" fillId="0" borderId="28" xfId="80" applyNumberFormat="1" applyFont="1" applyFill="1" applyBorder="1" applyAlignment="1">
      <alignment horizontal="center" vertical="center" wrapText="1"/>
      <protection/>
    </xf>
    <xf numFmtId="49" fontId="102" fillId="0" borderId="30" xfId="80" applyNumberFormat="1" applyFont="1" applyFill="1" applyBorder="1" applyAlignment="1">
      <alignment horizontal="center" vertical="center" wrapText="1"/>
      <protection/>
    </xf>
    <xf numFmtId="0" fontId="7" fillId="33" borderId="20" xfId="80" applyFont="1" applyFill="1" applyBorder="1" applyAlignment="1">
      <alignment horizontal="center" vertical="center"/>
      <protection/>
    </xf>
    <xf numFmtId="0" fontId="7" fillId="33" borderId="10" xfId="80" applyFont="1" applyFill="1" applyBorder="1" applyAlignment="1">
      <alignment horizontal="center" vertical="center"/>
      <protection/>
    </xf>
    <xf numFmtId="0" fontId="7" fillId="33" borderId="79" xfId="80" applyFont="1" applyFill="1" applyBorder="1" applyAlignment="1">
      <alignment horizontal="center" vertical="center"/>
      <protection/>
    </xf>
    <xf numFmtId="0" fontId="7" fillId="33" borderId="12" xfId="80" applyFont="1" applyFill="1" applyBorder="1" applyAlignment="1">
      <alignment horizontal="center" vertical="center"/>
      <protection/>
    </xf>
    <xf numFmtId="0" fontId="5" fillId="33" borderId="82" xfId="80" applyFont="1" applyFill="1" applyBorder="1" applyAlignment="1">
      <alignment horizontal="left" vertical="center" wrapText="1"/>
      <protection/>
    </xf>
    <xf numFmtId="0" fontId="5" fillId="33" borderId="50" xfId="80" applyFont="1" applyFill="1" applyBorder="1" applyAlignment="1">
      <alignment horizontal="left" vertical="center" wrapText="1"/>
      <protection/>
    </xf>
    <xf numFmtId="0" fontId="5" fillId="33" borderId="57" xfId="80" applyFont="1" applyFill="1" applyBorder="1" applyAlignment="1">
      <alignment horizontal="left" vertical="center" wrapText="1"/>
      <protection/>
    </xf>
    <xf numFmtId="0" fontId="5" fillId="33" borderId="25" xfId="79" applyFont="1" applyFill="1" applyBorder="1" applyAlignment="1">
      <alignment horizontal="left" vertical="center" wrapText="1"/>
      <protection/>
    </xf>
    <xf numFmtId="0" fontId="5" fillId="33" borderId="13" xfId="79" applyFont="1" applyFill="1" applyBorder="1" applyAlignment="1">
      <alignment horizontal="left" vertical="center" wrapText="1"/>
      <protection/>
    </xf>
    <xf numFmtId="0" fontId="5" fillId="33" borderId="83" xfId="79" applyFont="1" applyFill="1" applyBorder="1" applyAlignment="1">
      <alignment horizontal="left" vertical="center" wrapText="1"/>
      <protection/>
    </xf>
    <xf numFmtId="0" fontId="5" fillId="33" borderId="43" xfId="79" applyFont="1" applyFill="1" applyBorder="1" applyAlignment="1">
      <alignment horizontal="left" vertical="center" wrapText="1"/>
      <protection/>
    </xf>
    <xf numFmtId="0" fontId="5" fillId="33" borderId="55" xfId="79" applyFont="1" applyFill="1" applyBorder="1" applyAlignment="1">
      <alignment horizontal="left" vertical="center" wrapText="1"/>
      <protection/>
    </xf>
    <xf numFmtId="0" fontId="5" fillId="33" borderId="29" xfId="79" applyFont="1" applyFill="1" applyBorder="1" applyAlignment="1">
      <alignment horizontal="left" vertical="center" wrapText="1"/>
      <protection/>
    </xf>
    <xf numFmtId="0" fontId="5" fillId="33" borderId="18" xfId="79" applyFont="1" applyFill="1" applyBorder="1" applyAlignment="1">
      <alignment horizontal="left" vertical="center" wrapText="1"/>
      <protection/>
    </xf>
    <xf numFmtId="0" fontId="107" fillId="0" borderId="13" xfId="52" applyFont="1" applyFill="1" applyBorder="1" applyAlignment="1">
      <alignment horizontal="center" vertical="center" wrapText="1"/>
      <protection/>
    </xf>
    <xf numFmtId="0" fontId="107" fillId="0" borderId="18" xfId="52" applyFont="1" applyFill="1" applyBorder="1" applyAlignment="1">
      <alignment horizontal="center" vertical="center" wrapText="1"/>
      <protection/>
    </xf>
    <xf numFmtId="0" fontId="44" fillId="0" borderId="13" xfId="52" applyFont="1" applyFill="1" applyBorder="1" applyAlignment="1">
      <alignment horizontal="center" vertical="center" wrapText="1"/>
      <protection/>
    </xf>
    <xf numFmtId="0" fontId="44" fillId="0" borderId="18" xfId="52" applyFont="1" applyFill="1" applyBorder="1" applyAlignment="1">
      <alignment horizontal="center" vertical="center" wrapText="1"/>
      <protection/>
    </xf>
    <xf numFmtId="0" fontId="107" fillId="3" borderId="13" xfId="52" applyFont="1" applyFill="1" applyBorder="1" applyAlignment="1">
      <alignment horizontal="center" vertical="center" wrapText="1"/>
      <protection/>
    </xf>
    <xf numFmtId="0" fontId="107" fillId="3" borderId="18" xfId="52" applyFont="1" applyFill="1" applyBorder="1" applyAlignment="1">
      <alignment horizontal="center" vertical="center" wrapText="1"/>
      <protection/>
    </xf>
    <xf numFmtId="0" fontId="44" fillId="0" borderId="35" xfId="52" applyFont="1" applyFill="1" applyBorder="1" applyAlignment="1">
      <alignment horizontal="center" vertical="center" wrapText="1"/>
      <protection/>
    </xf>
    <xf numFmtId="0" fontId="44" fillId="0" borderId="30" xfId="52" applyFont="1" applyFill="1" applyBorder="1" applyAlignment="1">
      <alignment horizontal="center" vertical="center" wrapText="1"/>
      <protection/>
    </xf>
    <xf numFmtId="0" fontId="107" fillId="0" borderId="25" xfId="52" applyFont="1" applyFill="1" applyBorder="1" applyAlignment="1">
      <alignment horizontal="center" vertical="center" wrapText="1"/>
      <protection/>
    </xf>
    <xf numFmtId="0" fontId="107" fillId="0" borderId="29" xfId="52" applyFont="1" applyFill="1" applyBorder="1" applyAlignment="1">
      <alignment horizontal="center" vertical="center" wrapText="1"/>
      <protection/>
    </xf>
    <xf numFmtId="0" fontId="107" fillId="0" borderId="206" xfId="52" applyFont="1" applyFill="1" applyBorder="1" applyAlignment="1">
      <alignment horizontal="center" vertical="center" wrapText="1"/>
      <protection/>
    </xf>
    <xf numFmtId="0" fontId="107" fillId="0" borderId="207" xfId="52" applyFont="1" applyFill="1" applyBorder="1" applyAlignment="1">
      <alignment horizontal="center" vertical="center" wrapText="1"/>
      <protection/>
    </xf>
    <xf numFmtId="0" fontId="42" fillId="3" borderId="0" xfId="52" applyFont="1" applyFill="1" applyAlignment="1">
      <alignment horizontal="left" vertical="center" wrapText="1"/>
      <protection/>
    </xf>
    <xf numFmtId="0" fontId="109" fillId="3" borderId="0" xfId="52" applyFont="1" applyFill="1" applyAlignment="1">
      <alignment horizontal="left" vertical="center" wrapText="1"/>
      <protection/>
    </xf>
    <xf numFmtId="0" fontId="27" fillId="0" borderId="0" xfId="47" applyFont="1" applyAlignment="1">
      <alignment horizontal="left" vertical="center"/>
      <protection/>
    </xf>
    <xf numFmtId="168" fontId="45" fillId="0" borderId="0" xfId="47" applyNumberFormat="1" applyFont="1" applyAlignment="1">
      <alignment horizontal="left" vertical="center" wrapText="1"/>
      <protection/>
    </xf>
    <xf numFmtId="3" fontId="9" fillId="39" borderId="208" xfId="47" applyNumberFormat="1" applyFill="1" applyBorder="1" applyAlignment="1">
      <alignment horizontal="center" vertical="center"/>
      <protection/>
    </xf>
    <xf numFmtId="164" fontId="36" fillId="2" borderId="82" xfId="84" applyNumberFormat="1" applyFont="1" applyFill="1" applyBorder="1" applyAlignment="1" applyProtection="1">
      <alignment horizontal="center" vertical="center" wrapText="1"/>
      <protection/>
    </xf>
    <xf numFmtId="164" fontId="36" fillId="2" borderId="50" xfId="84" applyNumberFormat="1" applyFont="1" applyFill="1" applyBorder="1" applyAlignment="1" applyProtection="1">
      <alignment horizontal="center" vertical="center" wrapText="1"/>
      <protection/>
    </xf>
    <xf numFmtId="164" fontId="36" fillId="2" borderId="32" xfId="84" applyNumberFormat="1" applyFont="1" applyFill="1" applyBorder="1" applyAlignment="1" applyProtection="1">
      <alignment horizontal="center" vertical="center" wrapText="1"/>
      <protection/>
    </xf>
    <xf numFmtId="0" fontId="37" fillId="7" borderId="25" xfId="51" applyFont="1" applyFill="1" applyBorder="1" applyAlignment="1">
      <alignment horizontal="center" vertical="center"/>
      <protection/>
    </xf>
    <xf numFmtId="0" fontId="37" fillId="7" borderId="13" xfId="51" applyFont="1" applyFill="1" applyBorder="1" applyAlignment="1">
      <alignment horizontal="center" vertical="center"/>
      <protection/>
    </xf>
    <xf numFmtId="0" fontId="37" fillId="7" borderId="35" xfId="51" applyFont="1" applyFill="1" applyBorder="1" applyAlignment="1">
      <alignment horizontal="center" vertical="center"/>
      <protection/>
    </xf>
    <xf numFmtId="0" fontId="36" fillId="3" borderId="160" xfId="51" applyFont="1" applyFill="1" applyBorder="1" applyAlignment="1">
      <alignment horizontal="center" vertical="center" wrapText="1"/>
      <protection/>
    </xf>
    <xf numFmtId="0" fontId="36" fillId="3" borderId="188" xfId="51" applyFont="1" applyFill="1" applyBorder="1" applyAlignment="1">
      <alignment horizontal="center" vertical="center" wrapText="1"/>
      <protection/>
    </xf>
    <xf numFmtId="0" fontId="36" fillId="3" borderId="153" xfId="51" applyFont="1" applyFill="1" applyBorder="1" applyAlignment="1">
      <alignment horizontal="center" vertical="center" wrapText="1"/>
      <protection/>
    </xf>
    <xf numFmtId="0" fontId="36" fillId="3" borderId="32" xfId="51" applyFont="1" applyFill="1" applyBorder="1" applyAlignment="1">
      <alignment horizontal="center" vertical="center" wrapText="1"/>
      <protection/>
    </xf>
    <xf numFmtId="0" fontId="36" fillId="3" borderId="33" xfId="51" applyFont="1" applyFill="1" applyBorder="1" applyAlignment="1">
      <alignment horizontal="center" vertical="center" wrapText="1"/>
      <protection/>
    </xf>
    <xf numFmtId="0" fontId="36" fillId="3" borderId="34" xfId="51" applyFont="1" applyFill="1" applyBorder="1" applyAlignment="1">
      <alignment horizontal="center" vertical="center" wrapText="1"/>
      <protection/>
    </xf>
    <xf numFmtId="164" fontId="36" fillId="2" borderId="40" xfId="84" applyNumberFormat="1" applyFont="1" applyFill="1" applyBorder="1" applyAlignment="1" applyProtection="1">
      <alignment horizontal="center" vertical="center"/>
      <protection/>
    </xf>
    <xf numFmtId="164" fontId="36" fillId="2" borderId="43" xfId="84" applyNumberFormat="1" applyFont="1" applyFill="1" applyBorder="1" applyAlignment="1" applyProtection="1">
      <alignment horizontal="center" vertical="center"/>
      <protection/>
    </xf>
    <xf numFmtId="164" fontId="36" fillId="2" borderId="182" xfId="84" applyNumberFormat="1" applyFont="1" applyFill="1" applyBorder="1" applyAlignment="1" applyProtection="1">
      <alignment horizontal="center" vertical="center"/>
      <protection/>
    </xf>
    <xf numFmtId="164" fontId="36" fillId="2" borderId="209" xfId="84" applyNumberFormat="1" applyFont="1" applyFill="1" applyBorder="1" applyAlignment="1" applyProtection="1">
      <alignment horizontal="center" vertical="center" wrapText="1"/>
      <protection/>
    </xf>
    <xf numFmtId="164" fontId="36" fillId="2" borderId="183" xfId="84" applyNumberFormat="1" applyFont="1" applyFill="1" applyBorder="1" applyAlignment="1" applyProtection="1">
      <alignment horizontal="center" vertical="center" wrapText="1"/>
      <protection/>
    </xf>
    <xf numFmtId="164" fontId="36" fillId="2" borderId="179" xfId="84" applyNumberFormat="1" applyFont="1" applyFill="1" applyBorder="1" applyAlignment="1" applyProtection="1">
      <alignment horizontal="center" vertical="center" wrapText="1"/>
      <protection/>
    </xf>
    <xf numFmtId="164" fontId="36" fillId="2" borderId="174" xfId="84" applyNumberFormat="1" applyFont="1" applyFill="1" applyBorder="1" applyAlignment="1" applyProtection="1">
      <alignment horizontal="center" vertical="center" wrapText="1"/>
      <protection/>
    </xf>
    <xf numFmtId="0" fontId="36" fillId="7" borderId="83" xfId="51" applyFont="1" applyFill="1" applyBorder="1" applyAlignment="1">
      <alignment horizontal="center" vertical="center"/>
      <protection/>
    </xf>
    <xf numFmtId="0" fontId="36" fillId="7" borderId="43" xfId="51" applyFont="1" applyFill="1" applyBorder="1" applyAlignment="1">
      <alignment horizontal="center" vertical="center"/>
      <protection/>
    </xf>
    <xf numFmtId="0" fontId="36" fillId="7" borderId="182" xfId="51" applyFont="1" applyFill="1" applyBorder="1" applyAlignment="1">
      <alignment horizontal="center" vertical="center"/>
      <protection/>
    </xf>
    <xf numFmtId="164" fontId="36" fillId="7" borderId="209" xfId="84" applyNumberFormat="1" applyFont="1" applyFill="1" applyBorder="1" applyAlignment="1" applyProtection="1">
      <alignment horizontal="center" vertical="center" wrapText="1"/>
      <protection/>
    </xf>
    <xf numFmtId="164" fontId="36" fillId="7" borderId="59" xfId="84" applyNumberFormat="1" applyFont="1" applyFill="1" applyBorder="1" applyAlignment="1" applyProtection="1">
      <alignment horizontal="center" vertical="center" wrapText="1"/>
      <protection/>
    </xf>
    <xf numFmtId="164" fontId="36" fillId="7" borderId="179" xfId="84" applyNumberFormat="1" applyFont="1" applyFill="1" applyBorder="1" applyAlignment="1" applyProtection="1">
      <alignment horizontal="center" vertical="center" wrapText="1"/>
      <protection/>
    </xf>
    <xf numFmtId="164" fontId="36" fillId="7" borderId="53" xfId="84" applyNumberFormat="1" applyFont="1" applyFill="1" applyBorder="1" applyAlignment="1" applyProtection="1">
      <alignment horizontal="center" vertical="center" wrapText="1"/>
      <protection/>
    </xf>
    <xf numFmtId="0" fontId="36" fillId="7" borderId="40" xfId="51" applyFont="1" applyFill="1" applyBorder="1" applyAlignment="1">
      <alignment horizontal="center" vertical="center"/>
      <protection/>
    </xf>
    <xf numFmtId="0" fontId="36" fillId="4" borderId="44" xfId="51" applyFont="1" applyFill="1" applyBorder="1" applyAlignment="1">
      <alignment horizontal="center" vertical="center" wrapText="1"/>
      <protection/>
    </xf>
    <xf numFmtId="0" fontId="36" fillId="4" borderId="47" xfId="51" applyFont="1" applyFill="1" applyBorder="1" applyAlignment="1">
      <alignment horizontal="center" vertical="center" wrapText="1"/>
      <protection/>
    </xf>
    <xf numFmtId="0" fontId="36" fillId="4" borderId="31" xfId="51" applyFont="1" applyFill="1" applyBorder="1" applyAlignment="1">
      <alignment horizontal="center" vertical="center" wrapText="1"/>
      <protection/>
    </xf>
    <xf numFmtId="0" fontId="36" fillId="4" borderId="21" xfId="51" applyFont="1" applyFill="1" applyBorder="1" applyAlignment="1">
      <alignment horizontal="center" vertical="center" wrapText="1"/>
      <protection/>
    </xf>
    <xf numFmtId="0" fontId="36" fillId="4" borderId="48" xfId="51" applyFont="1" applyFill="1" applyBorder="1" applyAlignment="1">
      <alignment horizontal="center" vertical="center" wrapText="1"/>
      <protection/>
    </xf>
    <xf numFmtId="0" fontId="36" fillId="4" borderId="22" xfId="51" applyFont="1" applyFill="1" applyBorder="1" applyAlignment="1">
      <alignment horizontal="center" vertical="center" wrapText="1"/>
      <protection/>
    </xf>
    <xf numFmtId="164" fontId="36" fillId="2" borderId="83" xfId="84" applyNumberFormat="1" applyFont="1" applyFill="1" applyBorder="1" applyAlignment="1" applyProtection="1">
      <alignment horizontal="center" vertical="center" wrapText="1"/>
      <protection/>
    </xf>
    <xf numFmtId="164" fontId="36" fillId="2" borderId="43" xfId="84" applyNumberFormat="1" applyFont="1" applyFill="1" applyBorder="1" applyAlignment="1" applyProtection="1">
      <alignment horizontal="center" vertical="center" wrapText="1"/>
      <protection/>
    </xf>
    <xf numFmtId="0" fontId="36" fillId="2" borderId="210" xfId="51" applyFont="1" applyFill="1" applyBorder="1" applyAlignment="1">
      <alignment horizontal="center" vertical="center" wrapText="1"/>
      <protection/>
    </xf>
    <xf numFmtId="0" fontId="36" fillId="2" borderId="175" xfId="51" applyFont="1" applyFill="1" applyBorder="1" applyAlignment="1">
      <alignment horizontal="center" vertical="center" wrapText="1"/>
      <protection/>
    </xf>
    <xf numFmtId="164" fontId="36" fillId="7" borderId="183" xfId="84" applyNumberFormat="1" applyFont="1" applyFill="1" applyBorder="1" applyAlignment="1" applyProtection="1">
      <alignment horizontal="center" vertical="center" wrapText="1"/>
      <protection/>
    </xf>
    <xf numFmtId="164" fontId="36" fillId="7" borderId="174" xfId="84" applyNumberFormat="1" applyFont="1" applyFill="1" applyBorder="1" applyAlignment="1" applyProtection="1">
      <alignment horizontal="center" vertical="center" wrapText="1"/>
      <protection/>
    </xf>
    <xf numFmtId="0" fontId="36" fillId="7" borderId="177" xfId="51" applyFont="1" applyFill="1" applyBorder="1" applyAlignment="1">
      <alignment horizontal="center" vertical="center"/>
      <protection/>
    </xf>
    <xf numFmtId="0" fontId="36" fillId="7" borderId="179" xfId="51" applyFont="1" applyFill="1" applyBorder="1" applyAlignment="1">
      <alignment horizontal="center" vertical="center"/>
      <protection/>
    </xf>
    <xf numFmtId="0" fontId="36" fillId="7" borderId="211" xfId="51" applyFont="1" applyFill="1" applyBorder="1" applyAlignment="1">
      <alignment horizontal="center" vertical="center"/>
      <protection/>
    </xf>
    <xf numFmtId="164" fontId="36" fillId="2" borderId="177" xfId="84" applyNumberFormat="1" applyFont="1" applyFill="1" applyBorder="1" applyAlignment="1" applyProtection="1">
      <alignment horizontal="center" vertical="center" wrapText="1"/>
      <protection/>
    </xf>
    <xf numFmtId="0" fontId="36" fillId="7" borderId="176" xfId="51" applyFont="1" applyFill="1" applyBorder="1" applyAlignment="1">
      <alignment horizontal="center" vertical="center"/>
      <protection/>
    </xf>
    <xf numFmtId="0" fontId="36" fillId="0" borderId="49" xfId="51" applyNumberFormat="1" applyFont="1" applyFill="1" applyBorder="1" applyAlignment="1" applyProtection="1">
      <alignment horizontal="left" vertical="center" wrapText="1"/>
      <protection/>
    </xf>
    <xf numFmtId="0" fontId="36" fillId="0" borderId="72" xfId="51" applyNumberFormat="1" applyFont="1" applyFill="1" applyBorder="1" applyAlignment="1" applyProtection="1">
      <alignment horizontal="left" vertical="center" wrapText="1"/>
      <protection/>
    </xf>
    <xf numFmtId="49" fontId="36" fillId="0" borderId="82" xfId="51" applyNumberFormat="1" applyFont="1" applyFill="1" applyBorder="1" applyAlignment="1" applyProtection="1">
      <alignment horizontal="center" vertical="center"/>
      <protection/>
    </xf>
    <xf numFmtId="49" fontId="36" fillId="0" borderId="32" xfId="51" applyNumberFormat="1" applyFont="1" applyFill="1" applyBorder="1" applyAlignment="1" applyProtection="1">
      <alignment horizontal="center" vertical="center"/>
      <protection/>
    </xf>
    <xf numFmtId="0" fontId="36" fillId="0" borderId="122" xfId="51" applyNumberFormat="1" applyFont="1" applyFill="1" applyBorder="1" applyAlignment="1" applyProtection="1">
      <alignment horizontal="center" vertical="center" wrapText="1"/>
      <protection/>
    </xf>
    <xf numFmtId="0" fontId="36" fillId="0" borderId="41" xfId="51" applyNumberFormat="1" applyFont="1" applyFill="1" applyBorder="1" applyAlignment="1" applyProtection="1">
      <alignment horizontal="center" vertical="center" wrapText="1"/>
      <protection/>
    </xf>
    <xf numFmtId="0" fontId="36" fillId="0" borderId="23" xfId="51" applyNumberFormat="1" applyFont="1" applyFill="1" applyBorder="1" applyAlignment="1" applyProtection="1">
      <alignment horizontal="center" vertical="center" wrapText="1"/>
      <protection/>
    </xf>
    <xf numFmtId="0" fontId="36" fillId="0" borderId="0" xfId="51" applyNumberFormat="1" applyFont="1" applyFill="1" applyBorder="1" applyAlignment="1" applyProtection="1">
      <alignment horizontal="center" vertical="center" wrapText="1"/>
      <protection/>
    </xf>
    <xf numFmtId="0" fontId="36" fillId="0" borderId="173" xfId="51" applyNumberFormat="1" applyFont="1" applyFill="1" applyBorder="1" applyAlignment="1" applyProtection="1">
      <alignment horizontal="center" vertical="center" wrapText="1"/>
      <protection/>
    </xf>
    <xf numFmtId="0" fontId="36" fillId="0" borderId="60" xfId="51" applyNumberFormat="1" applyFont="1" applyFill="1" applyBorder="1" applyAlignment="1" applyProtection="1">
      <alignment horizontal="center" vertical="center" wrapText="1"/>
      <protection/>
    </xf>
    <xf numFmtId="164" fontId="37" fillId="4" borderId="82" xfId="84" applyNumberFormat="1" applyFont="1" applyFill="1" applyBorder="1" applyAlignment="1" applyProtection="1">
      <alignment horizontal="center" vertical="center"/>
      <protection/>
    </xf>
    <xf numFmtId="164" fontId="37" fillId="4" borderId="50" xfId="84" applyNumberFormat="1" applyFont="1" applyFill="1" applyBorder="1" applyAlignment="1" applyProtection="1">
      <alignment horizontal="center" vertical="center"/>
      <protection/>
    </xf>
    <xf numFmtId="164" fontId="37" fillId="4" borderId="32" xfId="84" applyNumberFormat="1" applyFont="1" applyFill="1" applyBorder="1" applyAlignment="1" applyProtection="1">
      <alignment horizontal="center" vertical="center"/>
      <protection/>
    </xf>
    <xf numFmtId="164" fontId="36" fillId="2" borderId="211" xfId="84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 vertical="center"/>
    </xf>
    <xf numFmtId="0" fontId="107" fillId="0" borderId="122" xfId="0" applyFont="1" applyBorder="1" applyAlignment="1">
      <alignment horizontal="left" vertical="center" wrapText="1"/>
    </xf>
    <xf numFmtId="0" fontId="107" fillId="0" borderId="54" xfId="0" applyFont="1" applyBorder="1" applyAlignment="1">
      <alignment horizontal="left" vertical="center" wrapText="1"/>
    </xf>
    <xf numFmtId="0" fontId="123" fillId="0" borderId="0" xfId="0" applyFont="1" applyAlignment="1">
      <alignment horizontal="left" vertical="center" wrapText="1"/>
    </xf>
    <xf numFmtId="0" fontId="109" fillId="0" borderId="25" xfId="0" applyFont="1" applyBorder="1" applyAlignment="1">
      <alignment horizontal="center" vertical="center" wrapText="1"/>
    </xf>
    <xf numFmtId="0" fontId="109" fillId="0" borderId="29" xfId="0" applyFont="1" applyBorder="1" applyAlignment="1">
      <alignment horizontal="center" vertical="center" wrapText="1"/>
    </xf>
    <xf numFmtId="0" fontId="109" fillId="0" borderId="13" xfId="0" applyFont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109" fillId="0" borderId="13" xfId="0" applyFont="1" applyFill="1" applyBorder="1" applyAlignment="1">
      <alignment horizontal="center" vertical="center" wrapText="1"/>
    </xf>
    <xf numFmtId="0" fontId="109" fillId="0" borderId="14" xfId="0" applyFont="1" applyFill="1" applyBorder="1" applyAlignment="1">
      <alignment horizontal="center" vertical="center" wrapText="1"/>
    </xf>
    <xf numFmtId="0" fontId="109" fillId="0" borderId="206" xfId="0" applyFont="1" applyBorder="1" applyAlignment="1">
      <alignment horizontal="center" vertical="center" wrapText="1"/>
    </xf>
    <xf numFmtId="0" fontId="109" fillId="0" borderId="207" xfId="0" applyFont="1" applyBorder="1" applyAlignment="1">
      <alignment horizontal="center" vertical="center" wrapText="1"/>
    </xf>
    <xf numFmtId="0" fontId="109" fillId="0" borderId="138" xfId="0" applyFont="1" applyBorder="1" applyAlignment="1">
      <alignment horizontal="center" vertical="center" wrapText="1"/>
    </xf>
    <xf numFmtId="0" fontId="109" fillId="0" borderId="212" xfId="0" applyFont="1" applyBorder="1" applyAlignment="1">
      <alignment horizontal="center" vertical="center" wrapText="1"/>
    </xf>
    <xf numFmtId="0" fontId="125" fillId="0" borderId="82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/>
    </xf>
    <xf numFmtId="0" fontId="125" fillId="0" borderId="83" xfId="0" applyFont="1" applyFill="1" applyBorder="1" applyAlignment="1">
      <alignment horizontal="left" vertical="center"/>
    </xf>
    <xf numFmtId="0" fontId="125" fillId="0" borderId="33" xfId="0" applyFont="1" applyFill="1" applyBorder="1" applyAlignment="1">
      <alignment horizontal="left" vertical="center"/>
    </xf>
    <xf numFmtId="0" fontId="125" fillId="0" borderId="85" xfId="0" applyFont="1" applyFill="1" applyBorder="1" applyAlignment="1">
      <alignment horizontal="left" vertical="center"/>
    </xf>
    <xf numFmtId="0" fontId="125" fillId="0" borderId="34" xfId="0" applyFont="1" applyFill="1" applyBorder="1" applyAlignment="1">
      <alignment horizontal="left" vertical="center"/>
    </xf>
    <xf numFmtId="0" fontId="123" fillId="0" borderId="0" xfId="0" applyFont="1" applyBorder="1" applyAlignment="1">
      <alignment horizontal="left"/>
    </xf>
    <xf numFmtId="0" fontId="25" fillId="0" borderId="0" xfId="0" applyFont="1" applyAlignment="1">
      <alignment horizontal="left" vertical="center" wrapText="1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2" xfId="49"/>
    <cellStyle name="Normální 13" xfId="50"/>
    <cellStyle name="normální 2" xfId="51"/>
    <cellStyle name="normální 2 2" xfId="52"/>
    <cellStyle name="normální 2 3" xfId="53"/>
    <cellStyle name="normální 2 3 2" xfId="54"/>
    <cellStyle name="normální 2 3 2 2" xfId="55"/>
    <cellStyle name="normální 2 3 2_PV III. Rozpis rozpočtu VŠ 2011_final_PV" xfId="56"/>
    <cellStyle name="normální 2 3_PV III. Rozpis rozpočtu VŠ 2011_final_PV" xfId="57"/>
    <cellStyle name="normální 2 4" xfId="58"/>
    <cellStyle name="normální 2 4 2" xfId="59"/>
    <cellStyle name="normální 2 4_PV III. Rozpis rozpočtu VŠ 2011_final_PV" xfId="60"/>
    <cellStyle name="normální 2 5" xfId="61"/>
    <cellStyle name="normální 2_PV III. Rozpis rozpočtu VŠ 2011_final_PV" xfId="62"/>
    <cellStyle name="normální 3" xfId="63"/>
    <cellStyle name="normální 3 2" xfId="64"/>
    <cellStyle name="normální 3_PV III. Rozpis rozpočtu VŠ 2011_final_PV" xfId="65"/>
    <cellStyle name="normální 4" xfId="66"/>
    <cellStyle name="normální 4 2" xfId="67"/>
    <cellStyle name="normální 4_PV Rozpis rozpočtu VŠ 2011 III - tabulkové přílohy" xfId="68"/>
    <cellStyle name="Normální 5" xfId="69"/>
    <cellStyle name="normální 5 2" xfId="70"/>
    <cellStyle name="Normální 6" xfId="71"/>
    <cellStyle name="Normální 6 2" xfId="72"/>
    <cellStyle name="normální 6 3" xfId="73"/>
    <cellStyle name="Normální 6 4" xfId="74"/>
    <cellStyle name="normální 7" xfId="75"/>
    <cellStyle name="Normální 8" xfId="76"/>
    <cellStyle name="Normální 8 2" xfId="77"/>
    <cellStyle name="Normální 9" xfId="78"/>
    <cellStyle name="normální_Tab.1-bilance PV" xfId="79"/>
    <cellStyle name="normální_Tabulka 1-Bilanční-návrh 13.1.04" xfId="80"/>
    <cellStyle name="normální_Ubyt a strav 2002" xfId="81"/>
    <cellStyle name="Followed Hyperlink" xfId="82"/>
    <cellStyle name="Poznámka" xfId="83"/>
    <cellStyle name="procent 2" xfId="84"/>
    <cellStyle name="procent 3" xfId="85"/>
    <cellStyle name="procent 4" xfId="86"/>
    <cellStyle name="Percent" xfId="87"/>
    <cellStyle name="Procenta 2" xfId="88"/>
    <cellStyle name="Procenta 3" xfId="89"/>
    <cellStyle name="Propojená buňka" xfId="90"/>
    <cellStyle name="Správně" xfId="91"/>
    <cellStyle name="Text upozornění" xfId="92"/>
    <cellStyle name="Vstup" xfId="93"/>
    <cellStyle name="Výpočet" xfId="94"/>
    <cellStyle name="Výstup" xfId="95"/>
    <cellStyle name="Vysvětlující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3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28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4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28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S95"/>
  <sheetViews>
    <sheetView tabSelected="1" zoomScale="77" zoomScaleNormal="77" workbookViewId="0" topLeftCell="A1">
      <selection activeCell="J52" sqref="J52"/>
    </sheetView>
  </sheetViews>
  <sheetFormatPr defaultColWidth="9.140625" defaultRowHeight="15"/>
  <cols>
    <col min="1" max="2" width="4.8515625" style="4" bestFit="1" customWidth="1"/>
    <col min="3" max="3" width="7.28125" style="4" customWidth="1"/>
    <col min="4" max="4" width="8.7109375" style="4" customWidth="1"/>
    <col min="5" max="5" width="13.421875" style="4" customWidth="1"/>
    <col min="6" max="6" width="14.00390625" style="4" customWidth="1"/>
    <col min="7" max="7" width="15.7109375" style="4" customWidth="1"/>
    <col min="8" max="8" width="14.00390625" style="4" customWidth="1"/>
    <col min="9" max="9" width="15.140625" style="4" customWidth="1"/>
    <col min="10" max="10" width="13.7109375" style="4" customWidth="1"/>
    <col min="11" max="11" width="14.00390625" style="4" customWidth="1"/>
    <col min="12" max="12" width="13.421875" style="149" customWidth="1"/>
    <col min="13" max="13" width="13.57421875" style="4" customWidth="1"/>
    <col min="14" max="14" width="13.8515625" style="150" customWidth="1"/>
    <col min="15" max="15" width="14.421875" style="4" customWidth="1"/>
    <col min="16" max="16" width="13.00390625" style="4" customWidth="1"/>
    <col min="17" max="18" width="12.421875" style="4" customWidth="1"/>
    <col min="19" max="19" width="10.7109375" style="4" customWidth="1"/>
    <col min="20" max="16384" width="9.140625" style="4" customWidth="1"/>
  </cols>
  <sheetData>
    <row r="1" spans="1:17" s="1" customFormat="1" ht="50.25" customHeight="1">
      <c r="A1" s="963" t="s">
        <v>441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</row>
    <row r="2" spans="1:17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5"/>
      <c r="Q2" s="5"/>
    </row>
    <row r="3" spans="1:17" ht="15.75" thickBot="1">
      <c r="A3" s="5"/>
      <c r="B3" s="5"/>
      <c r="C3" s="3"/>
      <c r="D3" s="3"/>
      <c r="E3" s="3"/>
      <c r="F3" s="3"/>
      <c r="G3" s="3"/>
      <c r="H3" s="3"/>
      <c r="I3" s="3"/>
      <c r="J3" s="6"/>
      <c r="K3" s="6"/>
      <c r="L3" s="7"/>
      <c r="M3" s="6"/>
      <c r="N3" s="8"/>
      <c r="O3" s="5"/>
      <c r="P3" s="5"/>
      <c r="Q3" s="5"/>
    </row>
    <row r="4" spans="1:18" s="13" customFormat="1" ht="32.25" customHeight="1" thickBot="1">
      <c r="A4" s="1016" t="s">
        <v>1</v>
      </c>
      <c r="B4" s="1017"/>
      <c r="C4" s="1017"/>
      <c r="D4" s="1017"/>
      <c r="E4" s="9" t="s">
        <v>2</v>
      </c>
      <c r="F4" s="10" t="s">
        <v>3</v>
      </c>
      <c r="G4" s="11" t="s">
        <v>59</v>
      </c>
      <c r="H4" s="569" t="s">
        <v>60</v>
      </c>
      <c r="I4" s="575" t="s">
        <v>224</v>
      </c>
      <c r="J4" s="1018" t="s">
        <v>1</v>
      </c>
      <c r="K4" s="1019"/>
      <c r="L4" s="232" t="s">
        <v>2</v>
      </c>
      <c r="M4" s="232" t="s">
        <v>3</v>
      </c>
      <c r="N4" s="12" t="s">
        <v>59</v>
      </c>
      <c r="O4" s="345" t="s">
        <v>60</v>
      </c>
      <c r="P4" s="348" t="s">
        <v>224</v>
      </c>
      <c r="Q4" s="187"/>
      <c r="R4" s="187"/>
    </row>
    <row r="5" spans="1:18" ht="33" customHeight="1">
      <c r="A5" s="1020" t="s">
        <v>4</v>
      </c>
      <c r="B5" s="1021"/>
      <c r="C5" s="1021"/>
      <c r="D5" s="1022"/>
      <c r="E5" s="14">
        <v>34770</v>
      </c>
      <c r="F5" s="15">
        <v>33012.209190902606</v>
      </c>
      <c r="G5" s="16">
        <v>30546.478380440745</v>
      </c>
      <c r="H5" s="570">
        <f>'3_A '!D221</f>
        <v>32400.797209457196</v>
      </c>
      <c r="I5" s="574">
        <f>H5/G5-1</f>
        <v>0.060704831696860806</v>
      </c>
      <c r="J5" s="1023" t="s">
        <v>5</v>
      </c>
      <c r="K5" s="1024"/>
      <c r="L5" s="14">
        <v>93380</v>
      </c>
      <c r="M5" s="15">
        <v>89429</v>
      </c>
      <c r="N5" s="15">
        <v>83041.32025274361</v>
      </c>
      <c r="O5" s="231">
        <f>5_C!F38</f>
        <v>90000</v>
      </c>
      <c r="P5" s="349">
        <f>O5/N5-1</f>
        <v>0.08379779760337436</v>
      </c>
      <c r="Q5" s="5"/>
      <c r="R5" s="5"/>
    </row>
    <row r="6" spans="1:18" ht="30.75" customHeight="1">
      <c r="A6" s="1025" t="s">
        <v>6</v>
      </c>
      <c r="B6" s="1026"/>
      <c r="C6" s="1026"/>
      <c r="D6" s="1027"/>
      <c r="E6" s="17">
        <v>29554</v>
      </c>
      <c r="F6" s="18">
        <v>26428.29909612293</v>
      </c>
      <c r="G6" s="19">
        <v>24437.1827043526</v>
      </c>
      <c r="H6" s="571">
        <f>'3_A '!D220</f>
        <v>25110.61865226003</v>
      </c>
      <c r="I6" s="350">
        <f>H6/G6-1</f>
        <v>0.027557839054314526</v>
      </c>
      <c r="J6" s="985" t="s">
        <v>7</v>
      </c>
      <c r="K6" s="986"/>
      <c r="L6" s="20">
        <v>6250</v>
      </c>
      <c r="M6" s="20">
        <v>5800</v>
      </c>
      <c r="N6" s="20">
        <v>5367.246073263169</v>
      </c>
      <c r="O6" s="346">
        <v>5400</v>
      </c>
      <c r="P6" s="350">
        <f>O6/N6-1</f>
        <v>0.006102557305876832</v>
      </c>
      <c r="Q6" s="5"/>
      <c r="R6" s="5"/>
    </row>
    <row r="7" spans="1:18" ht="33" customHeight="1" thickBot="1">
      <c r="A7" s="1028" t="s">
        <v>8</v>
      </c>
      <c r="B7" s="1029"/>
      <c r="C7" s="1029"/>
      <c r="D7" s="1029"/>
      <c r="E7" s="21">
        <v>8690</v>
      </c>
      <c r="F7" s="22">
        <v>15253.994069753577</v>
      </c>
      <c r="G7" s="23" t="s">
        <v>9</v>
      </c>
      <c r="H7" s="572" t="s">
        <v>9</v>
      </c>
      <c r="I7" s="573" t="s">
        <v>9</v>
      </c>
      <c r="J7" s="985" t="s">
        <v>10</v>
      </c>
      <c r="K7" s="986"/>
      <c r="L7" s="20">
        <v>1620</v>
      </c>
      <c r="M7" s="20">
        <v>1620</v>
      </c>
      <c r="N7" s="20">
        <v>1620</v>
      </c>
      <c r="O7" s="346">
        <v>1620</v>
      </c>
      <c r="P7" s="350">
        <f>O7/N7-1</f>
        <v>0</v>
      </c>
      <c r="Q7" s="5"/>
      <c r="R7" s="5"/>
    </row>
    <row r="8" spans="1:18" ht="30.75" customHeight="1" thickBot="1">
      <c r="A8" s="987"/>
      <c r="B8" s="987"/>
      <c r="C8" s="987"/>
      <c r="D8" s="987"/>
      <c r="E8" s="987"/>
      <c r="F8" s="987"/>
      <c r="G8" s="987"/>
      <c r="H8" s="987"/>
      <c r="I8" s="568"/>
      <c r="J8" s="988" t="s">
        <v>11</v>
      </c>
      <c r="K8" s="989"/>
      <c r="L8" s="24">
        <v>21.25</v>
      </c>
      <c r="M8" s="24">
        <v>19.3995</v>
      </c>
      <c r="N8" s="24">
        <v>17.95</v>
      </c>
      <c r="O8" s="347">
        <v>17.95</v>
      </c>
      <c r="P8" s="351">
        <f>O8/N8-1</f>
        <v>0</v>
      </c>
      <c r="Q8" s="5"/>
      <c r="R8" s="5"/>
    </row>
    <row r="9" spans="1:17" ht="15.75" thickBot="1">
      <c r="A9" s="990"/>
      <c r="B9" s="990"/>
      <c r="C9" s="990"/>
      <c r="D9" s="990"/>
      <c r="E9" s="990"/>
      <c r="F9" s="990"/>
      <c r="G9" s="990"/>
      <c r="H9" s="990"/>
      <c r="I9" s="990"/>
      <c r="J9" s="25"/>
      <c r="K9" s="25"/>
      <c r="L9" s="25"/>
      <c r="M9" s="25"/>
      <c r="N9" s="25"/>
      <c r="O9" s="5"/>
      <c r="P9" s="5"/>
      <c r="Q9" s="5"/>
    </row>
    <row r="10" spans="1:17" ht="14.25" customHeight="1">
      <c r="A10" s="991" t="s">
        <v>12</v>
      </c>
      <c r="B10" s="993" t="s">
        <v>13</v>
      </c>
      <c r="C10" s="995" t="s">
        <v>14</v>
      </c>
      <c r="D10" s="996"/>
      <c r="E10" s="996"/>
      <c r="F10" s="996"/>
      <c r="G10" s="997"/>
      <c r="H10" s="1004" t="s">
        <v>15</v>
      </c>
      <c r="I10" s="971" t="s">
        <v>16</v>
      </c>
      <c r="J10" s="968" t="s">
        <v>17</v>
      </c>
      <c r="K10" s="968" t="s">
        <v>18</v>
      </c>
      <c r="L10" s="971" t="s">
        <v>19</v>
      </c>
      <c r="M10" s="968" t="s">
        <v>20</v>
      </c>
      <c r="N10" s="974" t="s">
        <v>21</v>
      </c>
      <c r="O10" s="1007" t="s">
        <v>61</v>
      </c>
      <c r="P10" s="1010" t="s">
        <v>20</v>
      </c>
      <c r="Q10" s="1013" t="s">
        <v>21</v>
      </c>
    </row>
    <row r="11" spans="1:17" ht="14.25" customHeight="1">
      <c r="A11" s="992"/>
      <c r="B11" s="994"/>
      <c r="C11" s="998"/>
      <c r="D11" s="999"/>
      <c r="E11" s="999"/>
      <c r="F11" s="999"/>
      <c r="G11" s="1000"/>
      <c r="H11" s="1005"/>
      <c r="I11" s="972"/>
      <c r="J11" s="969"/>
      <c r="K11" s="969"/>
      <c r="L11" s="972"/>
      <c r="M11" s="969"/>
      <c r="N11" s="975"/>
      <c r="O11" s="1008"/>
      <c r="P11" s="1011"/>
      <c r="Q11" s="1014"/>
    </row>
    <row r="12" spans="1:17" s="26" customFormat="1" ht="14.25" customHeight="1" thickBot="1">
      <c r="A12" s="992"/>
      <c r="B12" s="994"/>
      <c r="C12" s="1001"/>
      <c r="D12" s="1002"/>
      <c r="E12" s="1002"/>
      <c r="F12" s="1002"/>
      <c r="G12" s="1003"/>
      <c r="H12" s="1006"/>
      <c r="I12" s="973"/>
      <c r="J12" s="970"/>
      <c r="K12" s="970"/>
      <c r="L12" s="973"/>
      <c r="M12" s="970"/>
      <c r="N12" s="976"/>
      <c r="O12" s="1009"/>
      <c r="P12" s="1012"/>
      <c r="Q12" s="1015"/>
    </row>
    <row r="13" spans="1:17" s="32" customFormat="1" ht="16.5" thickBot="1">
      <c r="A13" s="27"/>
      <c r="B13" s="28"/>
      <c r="C13" s="977">
        <v>1</v>
      </c>
      <c r="D13" s="978"/>
      <c r="E13" s="978"/>
      <c r="F13" s="978"/>
      <c r="G13" s="978"/>
      <c r="H13" s="29">
        <v>2</v>
      </c>
      <c r="I13" s="29">
        <v>3</v>
      </c>
      <c r="J13" s="30">
        <v>4</v>
      </c>
      <c r="K13" s="30">
        <v>5</v>
      </c>
      <c r="L13" s="29">
        <v>6</v>
      </c>
      <c r="M13" s="30">
        <v>7</v>
      </c>
      <c r="N13" s="152">
        <v>8</v>
      </c>
      <c r="O13" s="214">
        <v>9</v>
      </c>
      <c r="P13" s="169">
        <v>10</v>
      </c>
      <c r="Q13" s="31">
        <v>11</v>
      </c>
    </row>
    <row r="14" spans="1:17" ht="14.25">
      <c r="A14" s="33"/>
      <c r="B14" s="34"/>
      <c r="C14" s="35"/>
      <c r="D14" s="6"/>
      <c r="E14" s="6"/>
      <c r="F14" s="6"/>
      <c r="G14" s="6"/>
      <c r="H14" s="36"/>
      <c r="I14" s="36"/>
      <c r="J14" s="37"/>
      <c r="K14" s="37"/>
      <c r="L14" s="36"/>
      <c r="M14" s="37"/>
      <c r="N14" s="153"/>
      <c r="O14" s="215"/>
      <c r="P14" s="37"/>
      <c r="Q14" s="38"/>
    </row>
    <row r="15" spans="1:19" ht="15.75" thickBot="1">
      <c r="A15" s="33"/>
      <c r="B15" s="34"/>
      <c r="C15" s="39" t="s">
        <v>22</v>
      </c>
      <c r="D15" s="6"/>
      <c r="E15" s="6"/>
      <c r="F15" s="6"/>
      <c r="G15" s="6"/>
      <c r="H15" s="40"/>
      <c r="I15" s="36"/>
      <c r="J15" s="37"/>
      <c r="K15" s="37"/>
      <c r="L15" s="36"/>
      <c r="M15" s="37"/>
      <c r="N15" s="153"/>
      <c r="O15" s="215"/>
      <c r="P15" s="37"/>
      <c r="Q15" s="38"/>
      <c r="S15"/>
    </row>
    <row r="16" spans="1:19" ht="15">
      <c r="A16" s="41" t="s">
        <v>23</v>
      </c>
      <c r="B16" s="42"/>
      <c r="C16" s="981" t="s">
        <v>24</v>
      </c>
      <c r="D16" s="982"/>
      <c r="E16" s="982"/>
      <c r="F16" s="982"/>
      <c r="G16" s="982"/>
      <c r="H16" s="43">
        <v>14782615</v>
      </c>
      <c r="I16" s="43">
        <v>13288205</v>
      </c>
      <c r="J16" s="44">
        <f>I16/$I$58</f>
        <v>0.6423568234204867</v>
      </c>
      <c r="K16" s="44">
        <f>I16/H16-1</f>
        <v>-0.10109239806353609</v>
      </c>
      <c r="L16" s="43">
        <v>12382584</v>
      </c>
      <c r="M16" s="44">
        <f>L16/$L$57</f>
        <v>0.6412931904732212</v>
      </c>
      <c r="N16" s="154">
        <f>L16/I16-1</f>
        <v>-0.06815224479152748</v>
      </c>
      <c r="O16" s="584">
        <f>12325278</f>
        <v>12325278</v>
      </c>
      <c r="P16" s="170">
        <f>O16/$O$57</f>
        <v>0.6222131286078713</v>
      </c>
      <c r="Q16" s="45">
        <f>O16/L16-1</f>
        <v>-0.004627951645633899</v>
      </c>
      <c r="R16" s="82"/>
      <c r="S16"/>
    </row>
    <row r="17" spans="1:19" ht="15">
      <c r="A17" s="46" t="s">
        <v>23</v>
      </c>
      <c r="B17" s="47"/>
      <c r="C17" s="983" t="s">
        <v>25</v>
      </c>
      <c r="D17" s="984"/>
      <c r="E17" s="984"/>
      <c r="F17" s="984"/>
      <c r="G17" s="984"/>
      <c r="H17" s="48">
        <v>978194</v>
      </c>
      <c r="I17" s="48">
        <v>1655202</v>
      </c>
      <c r="J17" s="49">
        <f>I17/$I$58</f>
        <v>0.08001308670653684</v>
      </c>
      <c r="K17" s="49">
        <f>I17/H17-1</f>
        <v>0.6920999310975124</v>
      </c>
      <c r="L17" s="50" t="s">
        <v>9</v>
      </c>
      <c r="M17" s="51" t="s">
        <v>9</v>
      </c>
      <c r="N17" s="155" t="s">
        <v>9</v>
      </c>
      <c r="O17" s="585" t="s">
        <v>9</v>
      </c>
      <c r="P17" s="171" t="s">
        <v>9</v>
      </c>
      <c r="Q17" s="52" t="s">
        <v>9</v>
      </c>
      <c r="S17"/>
    </row>
    <row r="18" spans="1:19" ht="15.75" thickBot="1">
      <c r="A18" s="53" t="s">
        <v>23</v>
      </c>
      <c r="B18" s="54"/>
      <c r="C18" s="959" t="s">
        <v>26</v>
      </c>
      <c r="D18" s="960"/>
      <c r="E18" s="960"/>
      <c r="F18" s="960"/>
      <c r="G18" s="960"/>
      <c r="H18" s="55">
        <v>1630532</v>
      </c>
      <c r="I18" s="55">
        <v>1655202</v>
      </c>
      <c r="J18" s="56">
        <f>I18/$I$58</f>
        <v>0.08001308670653684</v>
      </c>
      <c r="K18" s="56">
        <f>I18/H18-1</f>
        <v>0.015130031180007553</v>
      </c>
      <c r="L18" s="55">
        <v>3095646</v>
      </c>
      <c r="M18" s="56">
        <f>L18/$L$57</f>
        <v>0.1603232976183053</v>
      </c>
      <c r="N18" s="156">
        <f>L18/(I18+I17)-1</f>
        <v>-0.0648736528834547</v>
      </c>
      <c r="O18" s="586">
        <v>3578306</v>
      </c>
      <c r="P18" s="172">
        <f>O18/$O$57</f>
        <v>0.1806424951531574</v>
      </c>
      <c r="Q18" s="57">
        <f>O18/L18-1</f>
        <v>0.15591576039379174</v>
      </c>
      <c r="R18" s="82"/>
      <c r="S18"/>
    </row>
    <row r="19" spans="1:18" s="63" customFormat="1" ht="15.75" thickBot="1">
      <c r="A19" s="58"/>
      <c r="B19" s="59"/>
      <c r="C19" s="961" t="s">
        <v>27</v>
      </c>
      <c r="D19" s="962"/>
      <c r="E19" s="962"/>
      <c r="F19" s="962"/>
      <c r="G19" s="962"/>
      <c r="H19" s="60">
        <f>SUM(H16:H18)</f>
        <v>17391341</v>
      </c>
      <c r="I19" s="60">
        <f>SUM(I16:I18)</f>
        <v>16598609</v>
      </c>
      <c r="J19" s="61">
        <f>I19/$I$58</f>
        <v>0.8023829968335604</v>
      </c>
      <c r="K19" s="61">
        <f>I19/H19-1</f>
        <v>-0.04558199393594775</v>
      </c>
      <c r="L19" s="60">
        <f>SUM(L16:L18)</f>
        <v>15478230</v>
      </c>
      <c r="M19" s="61">
        <f>L19/$L$57</f>
        <v>0.8016164880915265</v>
      </c>
      <c r="N19" s="157">
        <f aca="true" t="shared" si="0" ref="N19:N60">L19/I19-1</f>
        <v>-0.06749836688122479</v>
      </c>
      <c r="O19" s="587">
        <f>SUM(O16:O18)</f>
        <v>15903584</v>
      </c>
      <c r="P19" s="173">
        <f>O19/$O$57</f>
        <v>0.8028556237610287</v>
      </c>
      <c r="Q19" s="62">
        <f>O19/L19-1</f>
        <v>0.027480790762251184</v>
      </c>
      <c r="R19" s="122"/>
    </row>
    <row r="20" spans="1:18" ht="14.25">
      <c r="A20" s="33"/>
      <c r="B20" s="34"/>
      <c r="C20" s="35"/>
      <c r="D20" s="6"/>
      <c r="E20" s="6"/>
      <c r="F20" s="6"/>
      <c r="G20" s="6"/>
      <c r="H20" s="64"/>
      <c r="I20" s="64"/>
      <c r="J20" s="65"/>
      <c r="K20" s="65"/>
      <c r="L20" s="64"/>
      <c r="M20" s="65"/>
      <c r="N20" s="158"/>
      <c r="O20" s="588"/>
      <c r="P20" s="65"/>
      <c r="Q20" s="66"/>
      <c r="R20" s="785"/>
    </row>
    <row r="21" spans="1:17" ht="15" thickBot="1">
      <c r="A21" s="33"/>
      <c r="B21" s="34"/>
      <c r="C21" s="35" t="s">
        <v>28</v>
      </c>
      <c r="D21" s="6"/>
      <c r="E21" s="6"/>
      <c r="F21" s="6"/>
      <c r="G21" s="6"/>
      <c r="H21" s="67"/>
      <c r="I21" s="64"/>
      <c r="J21" s="68"/>
      <c r="K21" s="68"/>
      <c r="L21" s="64"/>
      <c r="M21" s="68"/>
      <c r="N21" s="68"/>
      <c r="O21" s="588"/>
      <c r="P21" s="68"/>
      <c r="Q21" s="69"/>
    </row>
    <row r="22" spans="1:19" ht="15">
      <c r="A22" s="41" t="s">
        <v>23</v>
      </c>
      <c r="B22" s="42"/>
      <c r="C22" s="979" t="s">
        <v>29</v>
      </c>
      <c r="D22" s="980"/>
      <c r="E22" s="980"/>
      <c r="F22" s="980"/>
      <c r="G22" s="980"/>
      <c r="H22" s="70">
        <v>1013279</v>
      </c>
      <c r="I22" s="70">
        <v>1054455</v>
      </c>
      <c r="J22" s="71">
        <f aca="true" t="shared" si="1" ref="J22:J28">I22/$I$58</f>
        <v>0.05097275096522437</v>
      </c>
      <c r="K22" s="71">
        <f aca="true" t="shared" si="2" ref="K22:K28">I22/H22-1</f>
        <v>0.040636389385351857</v>
      </c>
      <c r="L22" s="70">
        <v>998821</v>
      </c>
      <c r="M22" s="71">
        <f aca="true" t="shared" si="3" ref="M22:M28">L22/$L$57</f>
        <v>0.0517288722452158</v>
      </c>
      <c r="N22" s="159">
        <f t="shared" si="0"/>
        <v>-0.052760904922448115</v>
      </c>
      <c r="O22" s="589">
        <f>5_C!D34</f>
        <v>1084050</v>
      </c>
      <c r="P22" s="174">
        <f aca="true" t="shared" si="4" ref="P22:P28">O22/$O$57</f>
        <v>0.05472575483225311</v>
      </c>
      <c r="Q22" s="72">
        <f aca="true" t="shared" si="5" ref="Q22:Q28">O22/L22-1</f>
        <v>0.08532960360264763</v>
      </c>
      <c r="R22"/>
      <c r="S22"/>
    </row>
    <row r="23" spans="1:19" ht="15">
      <c r="A23" s="46"/>
      <c r="B23" s="73" t="s">
        <v>30</v>
      </c>
      <c r="C23" s="957" t="s">
        <v>31</v>
      </c>
      <c r="D23" s="958"/>
      <c r="E23" s="958"/>
      <c r="F23" s="958"/>
      <c r="G23" s="958"/>
      <c r="H23" s="74">
        <v>217770</v>
      </c>
      <c r="I23" s="74">
        <v>198340</v>
      </c>
      <c r="J23" s="75">
        <f t="shared" si="1"/>
        <v>0.00958783013636675</v>
      </c>
      <c r="K23" s="75">
        <f t="shared" si="2"/>
        <v>-0.08922257427561187</v>
      </c>
      <c r="L23" s="74">
        <v>180629</v>
      </c>
      <c r="M23" s="75">
        <f t="shared" si="3"/>
        <v>0.009354763731220194</v>
      </c>
      <c r="N23" s="162">
        <f t="shared" si="0"/>
        <v>-0.08929615811233238</v>
      </c>
      <c r="O23" s="590">
        <f>'10_J'!F32</f>
        <v>173187</v>
      </c>
      <c r="P23" s="175">
        <f t="shared" si="4"/>
        <v>0.008742944792337455</v>
      </c>
      <c r="Q23" s="76">
        <f t="shared" si="5"/>
        <v>-0.04120047168505614</v>
      </c>
      <c r="R23"/>
      <c r="S23"/>
    </row>
    <row r="24" spans="1:19" ht="15">
      <c r="A24" s="46" t="s">
        <v>23</v>
      </c>
      <c r="B24" s="73"/>
      <c r="C24" s="957" t="s">
        <v>32</v>
      </c>
      <c r="D24" s="958"/>
      <c r="E24" s="958"/>
      <c r="F24" s="958"/>
      <c r="G24" s="958"/>
      <c r="H24" s="74">
        <v>85909</v>
      </c>
      <c r="I24" s="74">
        <v>57248</v>
      </c>
      <c r="J24" s="75">
        <f t="shared" si="1"/>
        <v>0.002767389833854612</v>
      </c>
      <c r="K24" s="75">
        <f t="shared" si="2"/>
        <v>-0.33362045885762837</v>
      </c>
      <c r="L24" s="74">
        <v>51000</v>
      </c>
      <c r="M24" s="75">
        <f t="shared" si="3"/>
        <v>0.0026412865613618516</v>
      </c>
      <c r="N24" s="162">
        <f t="shared" si="0"/>
        <v>-0.10913918390162103</v>
      </c>
      <c r="O24" s="590">
        <v>48000</v>
      </c>
      <c r="P24" s="175">
        <f t="shared" si="4"/>
        <v>0.002423168886996125</v>
      </c>
      <c r="Q24" s="76">
        <f t="shared" si="5"/>
        <v>-0.05882352941176472</v>
      </c>
      <c r="R24"/>
      <c r="S24"/>
    </row>
    <row r="25" spans="1:19" ht="15">
      <c r="A25" s="46"/>
      <c r="B25" s="73" t="s">
        <v>30</v>
      </c>
      <c r="C25" s="957" t="s">
        <v>33</v>
      </c>
      <c r="D25" s="958"/>
      <c r="E25" s="958"/>
      <c r="F25" s="958"/>
      <c r="G25" s="958"/>
      <c r="H25" s="74">
        <v>4172</v>
      </c>
      <c r="I25" s="74">
        <f>3500-245</f>
        <v>3255</v>
      </c>
      <c r="J25" s="75">
        <f t="shared" si="1"/>
        <v>0.00015734792323219608</v>
      </c>
      <c r="K25" s="75">
        <f t="shared" si="2"/>
        <v>-0.2197986577181208</v>
      </c>
      <c r="L25" s="74">
        <v>3038</v>
      </c>
      <c r="M25" s="75">
        <f t="shared" si="3"/>
        <v>0.00015733781516504518</v>
      </c>
      <c r="N25" s="162">
        <f t="shared" si="0"/>
        <v>-0.06666666666666665</v>
      </c>
      <c r="O25" s="590">
        <v>2543</v>
      </c>
      <c r="P25" s="175">
        <f t="shared" si="4"/>
        <v>0.00012837746832564887</v>
      </c>
      <c r="Q25" s="76">
        <f t="shared" si="5"/>
        <v>-0.16293614219881503</v>
      </c>
      <c r="R25"/>
      <c r="S25"/>
    </row>
    <row r="26" spans="1:19" ht="15">
      <c r="A26" s="46" t="s">
        <v>23</v>
      </c>
      <c r="B26" s="73"/>
      <c r="C26" s="957" t="s">
        <v>34</v>
      </c>
      <c r="D26" s="958"/>
      <c r="E26" s="958"/>
      <c r="F26" s="958"/>
      <c r="G26" s="958"/>
      <c r="H26" s="74">
        <v>960361</v>
      </c>
      <c r="I26" s="74">
        <v>903679</v>
      </c>
      <c r="J26" s="75">
        <f t="shared" si="1"/>
        <v>0.04368418246345552</v>
      </c>
      <c r="K26" s="75">
        <f t="shared" si="2"/>
        <v>-0.05902155543592458</v>
      </c>
      <c r="L26" s="74">
        <v>835310</v>
      </c>
      <c r="M26" s="75">
        <f t="shared" si="3"/>
        <v>0.043260648579826824</v>
      </c>
      <c r="N26" s="162">
        <f t="shared" si="0"/>
        <v>-0.07565628945676506</v>
      </c>
      <c r="O26" s="590">
        <f>'11_U'!D10</f>
        <v>835259</v>
      </c>
      <c r="P26" s="175">
        <f t="shared" si="4"/>
        <v>0.04216611711215617</v>
      </c>
      <c r="Q26" s="76">
        <f t="shared" si="5"/>
        <v>-6.105517711985087E-05</v>
      </c>
      <c r="R26"/>
      <c r="S26"/>
    </row>
    <row r="27" spans="1:19" ht="15.75" thickBot="1">
      <c r="A27" s="53"/>
      <c r="B27" s="77" t="s">
        <v>30</v>
      </c>
      <c r="C27" s="959" t="s">
        <v>35</v>
      </c>
      <c r="D27" s="960"/>
      <c r="E27" s="960"/>
      <c r="F27" s="960"/>
      <c r="G27" s="960"/>
      <c r="H27" s="78">
        <v>50146</v>
      </c>
      <c r="I27" s="78">
        <v>66622</v>
      </c>
      <c r="J27" s="79">
        <f t="shared" si="1"/>
        <v>0.003220532516613016</v>
      </c>
      <c r="K27" s="79">
        <f t="shared" si="2"/>
        <v>0.3285606030391257</v>
      </c>
      <c r="L27" s="78">
        <v>57282</v>
      </c>
      <c r="M27" s="79">
        <f t="shared" si="3"/>
        <v>0.0029666309178025406</v>
      </c>
      <c r="N27" s="156">
        <f t="shared" si="0"/>
        <v>-0.14019392993305513</v>
      </c>
      <c r="O27" s="591">
        <f>'11_U'!D11</f>
        <v>57333</v>
      </c>
      <c r="P27" s="176">
        <f t="shared" si="4"/>
        <v>0.0028943237874614336</v>
      </c>
      <c r="Q27" s="80">
        <f t="shared" si="5"/>
        <v>0.0008903320414790361</v>
      </c>
      <c r="R27"/>
      <c r="S27"/>
    </row>
    <row r="28" spans="1:19" s="63" customFormat="1" ht="15.75" thickBot="1">
      <c r="A28" s="58"/>
      <c r="B28" s="59"/>
      <c r="C28" s="961" t="s">
        <v>36</v>
      </c>
      <c r="D28" s="962"/>
      <c r="E28" s="962"/>
      <c r="F28" s="962"/>
      <c r="G28" s="962"/>
      <c r="H28" s="60">
        <f>H22+H24+H25+H26+H27+H23</f>
        <v>2331637</v>
      </c>
      <c r="I28" s="60">
        <f>SUM(I22:I27)</f>
        <v>2283599</v>
      </c>
      <c r="J28" s="61">
        <f t="shared" si="1"/>
        <v>0.11039003383874646</v>
      </c>
      <c r="K28" s="61">
        <f t="shared" si="2"/>
        <v>-0.020602692443120407</v>
      </c>
      <c r="L28" s="60">
        <f>SUM(L22:L27)</f>
        <v>2126080</v>
      </c>
      <c r="M28" s="61">
        <f t="shared" si="3"/>
        <v>0.11010953985059226</v>
      </c>
      <c r="N28" s="157">
        <f t="shared" si="0"/>
        <v>-0.06897839769591774</v>
      </c>
      <c r="O28" s="587">
        <f>SUM(O22:O27)</f>
        <v>2200372</v>
      </c>
      <c r="P28" s="173">
        <f t="shared" si="4"/>
        <v>0.11108068687952993</v>
      </c>
      <c r="Q28" s="62">
        <f t="shared" si="5"/>
        <v>0.03494318181818179</v>
      </c>
      <c r="R28" s="122"/>
      <c r="S28"/>
    </row>
    <row r="29" spans="1:17" ht="14.25">
      <c r="A29" s="33"/>
      <c r="B29" s="34"/>
      <c r="C29" s="35"/>
      <c r="D29" s="6"/>
      <c r="E29" s="6"/>
      <c r="F29" s="6"/>
      <c r="G29" s="6"/>
      <c r="H29" s="67"/>
      <c r="I29" s="64"/>
      <c r="J29" s="65"/>
      <c r="K29" s="65"/>
      <c r="L29" s="64"/>
      <c r="M29" s="65"/>
      <c r="N29" s="68"/>
      <c r="O29" s="588"/>
      <c r="P29" s="65"/>
      <c r="Q29" s="69"/>
    </row>
    <row r="30" spans="1:17" ht="15.75" thickBot="1">
      <c r="A30" s="33"/>
      <c r="B30" s="34"/>
      <c r="C30" s="39" t="s">
        <v>37</v>
      </c>
      <c r="D30" s="6"/>
      <c r="E30" s="6"/>
      <c r="F30" s="6"/>
      <c r="G30" s="6"/>
      <c r="H30" s="64"/>
      <c r="I30" s="64"/>
      <c r="J30" s="68"/>
      <c r="K30" s="68"/>
      <c r="L30" s="64"/>
      <c r="M30" s="68"/>
      <c r="N30" s="68"/>
      <c r="O30" s="588"/>
      <c r="P30" s="68"/>
      <c r="Q30" s="69"/>
    </row>
    <row r="31" spans="1:18" s="82" customFormat="1" ht="14.25">
      <c r="A31" s="41"/>
      <c r="B31" s="42" t="s">
        <v>30</v>
      </c>
      <c r="C31" s="979" t="s">
        <v>38</v>
      </c>
      <c r="D31" s="980"/>
      <c r="E31" s="980"/>
      <c r="F31" s="980"/>
      <c r="G31" s="980"/>
      <c r="H31" s="70">
        <v>334000</v>
      </c>
      <c r="I31" s="70">
        <v>319638</v>
      </c>
      <c r="J31" s="71">
        <f>I31/$I$58</f>
        <v>0.015451421040274253</v>
      </c>
      <c r="K31" s="71">
        <f>I31/H31-1</f>
        <v>-0.04300000000000004</v>
      </c>
      <c r="L31" s="70">
        <v>287548</v>
      </c>
      <c r="M31" s="71">
        <f>L31/$L$57</f>
        <v>0.014892091532283876</v>
      </c>
      <c r="N31" s="159">
        <f t="shared" si="0"/>
        <v>-0.10039482164198255</v>
      </c>
      <c r="O31" s="821">
        <v>201284</v>
      </c>
      <c r="P31" s="174">
        <f>O31/$O$57</f>
        <v>0.010161356796877666</v>
      </c>
      <c r="Q31" s="81">
        <f>O31/L31-1</f>
        <v>-0.29999860892790076</v>
      </c>
      <c r="R31" s="182"/>
    </row>
    <row r="32" spans="1:17" ht="14.25">
      <c r="A32" s="100"/>
      <c r="B32" s="186" t="s">
        <v>30</v>
      </c>
      <c r="C32" s="957" t="s">
        <v>39</v>
      </c>
      <c r="D32" s="958"/>
      <c r="E32" s="958"/>
      <c r="F32" s="958"/>
      <c r="G32" s="958"/>
      <c r="H32" s="74">
        <v>1131885</v>
      </c>
      <c r="I32" s="74">
        <v>1083213</v>
      </c>
      <c r="J32" s="75">
        <f>I32/$I$58</f>
        <v>0.052362923492509005</v>
      </c>
      <c r="K32" s="75">
        <f>I32/H32-1</f>
        <v>-0.04300083489047035</v>
      </c>
      <c r="L32" s="74">
        <v>974734</v>
      </c>
      <c r="M32" s="75">
        <f>L32/$L$57</f>
        <v>0.05048140813926437</v>
      </c>
      <c r="N32" s="162">
        <f t="shared" si="0"/>
        <v>-0.10014558540194773</v>
      </c>
      <c r="O32" s="590">
        <f>SUM(O33:O34)</f>
        <v>999734</v>
      </c>
      <c r="P32" s="175">
        <f>O32/$O$57</f>
        <v>0.05046925675150383</v>
      </c>
      <c r="Q32" s="99">
        <f>O32/L32-1</f>
        <v>0.02564802294779911</v>
      </c>
    </row>
    <row r="33" spans="1:17" s="82" customFormat="1" ht="14.25">
      <c r="A33" s="46"/>
      <c r="B33" s="73"/>
      <c r="C33" s="186" t="s">
        <v>67</v>
      </c>
      <c r="D33" s="109" t="s">
        <v>69</v>
      </c>
      <c r="E33" s="34"/>
      <c r="F33" s="34"/>
      <c r="G33" s="34"/>
      <c r="H33" s="183">
        <v>792299</v>
      </c>
      <c r="I33" s="183">
        <v>792299</v>
      </c>
      <c r="J33" s="75">
        <f>I33/$I$58</f>
        <v>0.03830003140674216</v>
      </c>
      <c r="K33" s="75">
        <f>I33/H33-1</f>
        <v>0</v>
      </c>
      <c r="L33" s="183">
        <v>792299</v>
      </c>
      <c r="M33" s="75">
        <f>L33/$L$57</f>
        <v>0.04103311178981242</v>
      </c>
      <c r="N33" s="162">
        <f t="shared" si="0"/>
        <v>0</v>
      </c>
      <c r="O33" s="592">
        <f>L33</f>
        <v>792299</v>
      </c>
      <c r="P33" s="175">
        <f>O33/$O$57</f>
        <v>0.03999738095829464</v>
      </c>
      <c r="Q33" s="99">
        <f>O33/L33-1</f>
        <v>0</v>
      </c>
    </row>
    <row r="34" spans="1:18" s="82" customFormat="1" ht="15">
      <c r="A34" s="46"/>
      <c r="B34" s="73"/>
      <c r="C34" s="230"/>
      <c r="D34" s="92" t="s">
        <v>68</v>
      </c>
      <c r="E34" s="97"/>
      <c r="F34" s="97"/>
      <c r="G34" s="97"/>
      <c r="H34" s="184">
        <v>339586</v>
      </c>
      <c r="I34" s="184">
        <v>290914</v>
      </c>
      <c r="J34" s="75">
        <f>I34/$I$58</f>
        <v>0.014062892085766849</v>
      </c>
      <c r="K34" s="75">
        <f>I34/H34-1</f>
        <v>-0.14332746344077785</v>
      </c>
      <c r="L34" s="185">
        <v>182435</v>
      </c>
      <c r="M34" s="75">
        <f>L34/$L$57</f>
        <v>0.009448296349451948</v>
      </c>
      <c r="N34" s="162">
        <f t="shared" si="0"/>
        <v>-0.37289026997669417</v>
      </c>
      <c r="O34" s="822">
        <v>207435</v>
      </c>
      <c r="P34" s="175">
        <f>O34/$O$57</f>
        <v>0.01047187579320919</v>
      </c>
      <c r="Q34" s="99">
        <f>O34/L34-1</f>
        <v>0.13703510839477073</v>
      </c>
      <c r="R34"/>
    </row>
    <row r="35" spans="1:18" s="63" customFormat="1" ht="15.75" thickBot="1">
      <c r="A35" s="58"/>
      <c r="B35" s="59"/>
      <c r="C35" s="964" t="s">
        <v>40</v>
      </c>
      <c r="D35" s="965"/>
      <c r="E35" s="965"/>
      <c r="F35" s="965"/>
      <c r="G35" s="965"/>
      <c r="H35" s="60">
        <f>H31+H32</f>
        <v>1465885</v>
      </c>
      <c r="I35" s="60">
        <f>SUM(I31:I32)</f>
        <v>1402851</v>
      </c>
      <c r="J35" s="61">
        <f>I35/$I$58</f>
        <v>0.06781434453278326</v>
      </c>
      <c r="K35" s="61">
        <f>I35/H35-1</f>
        <v>-0.04300064466175724</v>
      </c>
      <c r="L35" s="60">
        <f>SUM(L31:L32)</f>
        <v>1262282</v>
      </c>
      <c r="M35" s="61">
        <f>L35/$L$57</f>
        <v>0.06537349967154825</v>
      </c>
      <c r="N35" s="157">
        <f t="shared" si="0"/>
        <v>-0.1002023735949149</v>
      </c>
      <c r="O35" s="587">
        <f>SUM(O31:O32)</f>
        <v>1201018</v>
      </c>
      <c r="P35" s="173">
        <f>O35/$O$57</f>
        <v>0.06063061354838149</v>
      </c>
      <c r="Q35" s="62">
        <f>O35/L35-1</f>
        <v>-0.04853432117387402</v>
      </c>
      <c r="R35" s="122"/>
    </row>
    <row r="36" spans="1:17" ht="14.25">
      <c r="A36" s="33"/>
      <c r="B36" s="34"/>
      <c r="C36" s="35"/>
      <c r="D36" s="6"/>
      <c r="E36" s="6"/>
      <c r="F36" s="6"/>
      <c r="G36" s="6"/>
      <c r="H36" s="64"/>
      <c r="I36" s="64"/>
      <c r="J36" s="65"/>
      <c r="K36" s="65"/>
      <c r="L36" s="64"/>
      <c r="M36" s="65"/>
      <c r="N36" s="68"/>
      <c r="O36" s="588"/>
      <c r="P36" s="65"/>
      <c r="Q36" s="69"/>
    </row>
    <row r="37" spans="1:17" ht="15.75" thickBot="1">
      <c r="A37" s="83"/>
      <c r="B37" s="84"/>
      <c r="C37" s="39" t="s">
        <v>41</v>
      </c>
      <c r="D37" s="6"/>
      <c r="E37" s="6"/>
      <c r="F37" s="6"/>
      <c r="G37" s="6"/>
      <c r="H37" s="64"/>
      <c r="I37" s="64"/>
      <c r="J37" s="68"/>
      <c r="K37" s="68"/>
      <c r="L37" s="64"/>
      <c r="M37" s="68"/>
      <c r="N37" s="68"/>
      <c r="O37" s="588"/>
      <c r="P37" s="68"/>
      <c r="Q37" s="69"/>
    </row>
    <row r="38" spans="1:17" ht="15" thickBot="1">
      <c r="A38" s="85" t="s">
        <v>23</v>
      </c>
      <c r="B38" s="86" t="s">
        <v>30</v>
      </c>
      <c r="C38" s="87" t="s">
        <v>66</v>
      </c>
      <c r="D38" s="88"/>
      <c r="E38" s="88"/>
      <c r="F38" s="88"/>
      <c r="G38" s="88"/>
      <c r="H38" s="89">
        <f>SUM(H39:H46)</f>
        <v>311379</v>
      </c>
      <c r="I38" s="89">
        <f>SUM(I39:I46)</f>
        <v>310082</v>
      </c>
      <c r="J38" s="90">
        <f aca="true" t="shared" si="6" ref="J38:J47">I38/$I$58</f>
        <v>0.014989480409120069</v>
      </c>
      <c r="K38" s="90">
        <f aca="true" t="shared" si="7" ref="K38:K44">I38/H38-1</f>
        <v>-0.0041653419145157855</v>
      </c>
      <c r="L38" s="89">
        <f>SUM(L39:L46)</f>
        <v>292180</v>
      </c>
      <c r="M38" s="90">
        <f aca="true" t="shared" si="8" ref="M38:M47">L38/$L$57</f>
        <v>0.015131982499974623</v>
      </c>
      <c r="N38" s="160">
        <f t="shared" si="0"/>
        <v>-0.05773311575647733</v>
      </c>
      <c r="O38" s="593">
        <f>SUM(O39:O46)</f>
        <v>353797</v>
      </c>
      <c r="P38" s="177">
        <f aca="true" t="shared" si="9" ref="P38:P47">O38/$O$57</f>
        <v>0.017860622556511833</v>
      </c>
      <c r="Q38" s="91">
        <f aca="true" t="shared" si="10" ref="Q38:Q44">O38/L38-1</f>
        <v>0.21088712437538493</v>
      </c>
    </row>
    <row r="39" spans="1:17" s="82" customFormat="1" ht="14.25">
      <c r="A39" s="933"/>
      <c r="B39" s="934"/>
      <c r="C39" s="227" t="s">
        <v>42</v>
      </c>
      <c r="D39" s="93" t="s">
        <v>43</v>
      </c>
      <c r="E39" s="94"/>
      <c r="F39" s="94"/>
      <c r="G39" s="94"/>
      <c r="H39" s="95">
        <v>5000</v>
      </c>
      <c r="I39" s="95">
        <v>4500</v>
      </c>
      <c r="J39" s="71">
        <f t="shared" si="6"/>
        <v>0.00021753169110441854</v>
      </c>
      <c r="K39" s="71">
        <f t="shared" si="7"/>
        <v>-0.09999999999999998</v>
      </c>
      <c r="L39" s="95">
        <v>4500</v>
      </c>
      <c r="M39" s="71">
        <f t="shared" si="8"/>
        <v>0.00023305469659075162</v>
      </c>
      <c r="N39" s="161">
        <f t="shared" si="0"/>
        <v>0</v>
      </c>
      <c r="O39" s="594">
        <v>4500</v>
      </c>
      <c r="P39" s="174">
        <f t="shared" si="9"/>
        <v>0.0002271720831558867</v>
      </c>
      <c r="Q39" s="96">
        <f t="shared" si="10"/>
        <v>0</v>
      </c>
    </row>
    <row r="40" spans="1:17" s="82" customFormat="1" ht="14.25">
      <c r="A40" s="933"/>
      <c r="B40" s="188"/>
      <c r="C40" s="228"/>
      <c r="D40" s="92" t="s">
        <v>44</v>
      </c>
      <c r="E40" s="97"/>
      <c r="F40" s="97"/>
      <c r="G40" s="97"/>
      <c r="H40" s="74">
        <v>10000</v>
      </c>
      <c r="I40" s="74">
        <v>10000</v>
      </c>
      <c r="J40" s="75">
        <f t="shared" si="6"/>
        <v>0.000483403758009819</v>
      </c>
      <c r="K40" s="75">
        <f t="shared" si="7"/>
        <v>0</v>
      </c>
      <c r="L40" s="98">
        <v>10000</v>
      </c>
      <c r="M40" s="75">
        <f t="shared" si="8"/>
        <v>0.0005178993257572258</v>
      </c>
      <c r="N40" s="162">
        <f t="shared" si="0"/>
        <v>0</v>
      </c>
      <c r="O40" s="595">
        <v>10000</v>
      </c>
      <c r="P40" s="175">
        <f t="shared" si="9"/>
        <v>0.000504826851457526</v>
      </c>
      <c r="Q40" s="99">
        <f t="shared" si="10"/>
        <v>0</v>
      </c>
    </row>
    <row r="41" spans="1:18" s="82" customFormat="1" ht="14.25">
      <c r="A41" s="933"/>
      <c r="B41" s="188"/>
      <c r="C41" s="228"/>
      <c r="D41" s="188" t="s">
        <v>45</v>
      </c>
      <c r="E41" s="189"/>
      <c r="F41" s="189"/>
      <c r="G41" s="189"/>
      <c r="H41" s="74">
        <v>272797</v>
      </c>
      <c r="I41" s="74">
        <v>272000</v>
      </c>
      <c r="J41" s="75">
        <f t="shared" si="6"/>
        <v>0.013148582217867077</v>
      </c>
      <c r="K41" s="75">
        <f t="shared" si="7"/>
        <v>-0.0029215863810818643</v>
      </c>
      <c r="L41" s="98">
        <v>253883</v>
      </c>
      <c r="M41" s="75">
        <f t="shared" si="8"/>
        <v>0.013148583452122175</v>
      </c>
      <c r="N41" s="162">
        <f t="shared" si="0"/>
        <v>-0.06660661764705877</v>
      </c>
      <c r="O41" s="590">
        <v>310000</v>
      </c>
      <c r="P41" s="175">
        <f t="shared" si="9"/>
        <v>0.015649632395183306</v>
      </c>
      <c r="Q41" s="99">
        <f t="shared" si="10"/>
        <v>0.221034886148344</v>
      </c>
      <c r="R41" s="182"/>
    </row>
    <row r="42" spans="1:17" s="82" customFormat="1" ht="14.25">
      <c r="A42" s="196"/>
      <c r="B42" s="188"/>
      <c r="C42" s="228"/>
      <c r="D42" s="188" t="s">
        <v>46</v>
      </c>
      <c r="E42" s="189"/>
      <c r="F42" s="189"/>
      <c r="G42" s="189"/>
      <c r="H42" s="74">
        <v>9182</v>
      </c>
      <c r="I42" s="74">
        <v>9182</v>
      </c>
      <c r="J42" s="75">
        <f t="shared" si="6"/>
        <v>0.0004438613306046158</v>
      </c>
      <c r="K42" s="75">
        <f t="shared" si="7"/>
        <v>0</v>
      </c>
      <c r="L42" s="74">
        <v>9397</v>
      </c>
      <c r="M42" s="75">
        <f t="shared" si="8"/>
        <v>0.0004866699964140651</v>
      </c>
      <c r="N42" s="162">
        <f t="shared" si="0"/>
        <v>0.02341537791330861</v>
      </c>
      <c r="O42" s="590">
        <v>9397</v>
      </c>
      <c r="P42" s="175">
        <f t="shared" si="9"/>
        <v>0.00047438579231463715</v>
      </c>
      <c r="Q42" s="99">
        <f t="shared" si="10"/>
        <v>0</v>
      </c>
    </row>
    <row r="43" spans="1:17" s="82" customFormat="1" ht="14.25">
      <c r="A43" s="933"/>
      <c r="B43" s="188"/>
      <c r="C43" s="228"/>
      <c r="D43" s="188" t="s">
        <v>62</v>
      </c>
      <c r="E43" s="189"/>
      <c r="F43" s="189"/>
      <c r="G43" s="189"/>
      <c r="H43" s="74">
        <v>13500</v>
      </c>
      <c r="I43" s="74">
        <v>13500</v>
      </c>
      <c r="J43" s="75">
        <f t="shared" si="6"/>
        <v>0.0006525950733132556</v>
      </c>
      <c r="K43" s="75">
        <f t="shared" si="7"/>
        <v>0</v>
      </c>
      <c r="L43" s="74">
        <v>13500</v>
      </c>
      <c r="M43" s="75">
        <f t="shared" si="8"/>
        <v>0.0006991640897722548</v>
      </c>
      <c r="N43" s="162">
        <f t="shared" si="0"/>
        <v>0</v>
      </c>
      <c r="O43" s="590">
        <v>13500</v>
      </c>
      <c r="P43" s="175">
        <f t="shared" si="9"/>
        <v>0.0006815162494676601</v>
      </c>
      <c r="Q43" s="99">
        <f t="shared" si="10"/>
        <v>0</v>
      </c>
    </row>
    <row r="44" spans="1:17" s="82" customFormat="1" ht="14.25">
      <c r="A44" s="933"/>
      <c r="B44" s="188"/>
      <c r="C44" s="228"/>
      <c r="D44" s="188" t="s">
        <v>65</v>
      </c>
      <c r="E44" s="189"/>
      <c r="F44" s="189"/>
      <c r="G44" s="189"/>
      <c r="H44" s="74">
        <v>900</v>
      </c>
      <c r="I44" s="74">
        <v>900</v>
      </c>
      <c r="J44" s="75">
        <f t="shared" si="6"/>
        <v>4.350633822088371E-05</v>
      </c>
      <c r="K44" s="75">
        <f t="shared" si="7"/>
        <v>0</v>
      </c>
      <c r="L44" s="74">
        <v>900</v>
      </c>
      <c r="M44" s="75">
        <f t="shared" si="8"/>
        <v>4.661093931815032E-05</v>
      </c>
      <c r="N44" s="162">
        <f t="shared" si="0"/>
        <v>0</v>
      </c>
      <c r="O44" s="590">
        <v>6400</v>
      </c>
      <c r="P44" s="175">
        <f t="shared" si="9"/>
        <v>0.00032308918493281666</v>
      </c>
      <c r="Q44" s="99">
        <f t="shared" si="10"/>
        <v>6.111111111111111</v>
      </c>
    </row>
    <row r="45" spans="1:17" s="82" customFormat="1" ht="14.25">
      <c r="A45" s="197"/>
      <c r="B45" s="198"/>
      <c r="C45" s="228"/>
      <c r="D45" s="101" t="s">
        <v>63</v>
      </c>
      <c r="E45" s="103"/>
      <c r="F45" s="103"/>
      <c r="G45" s="103"/>
      <c r="H45" s="74">
        <v>0</v>
      </c>
      <c r="I45" s="74">
        <v>0</v>
      </c>
      <c r="J45" s="75">
        <f t="shared" si="6"/>
        <v>0</v>
      </c>
      <c r="K45" s="75"/>
      <c r="L45" s="74">
        <v>0</v>
      </c>
      <c r="M45" s="75">
        <f t="shared" si="8"/>
        <v>0</v>
      </c>
      <c r="N45" s="162"/>
      <c r="O45" s="219">
        <v>0</v>
      </c>
      <c r="P45" s="175">
        <f t="shared" si="9"/>
        <v>0</v>
      </c>
      <c r="Q45" s="99"/>
    </row>
    <row r="46" spans="1:17" s="82" customFormat="1" ht="15" thickBot="1">
      <c r="A46" s="197"/>
      <c r="B46" s="198"/>
      <c r="C46" s="229"/>
      <c r="D46" s="102" t="s">
        <v>64</v>
      </c>
      <c r="E46" s="103"/>
      <c r="F46" s="103"/>
      <c r="G46" s="103"/>
      <c r="H46" s="104">
        <v>0</v>
      </c>
      <c r="I46" s="104">
        <v>0</v>
      </c>
      <c r="J46" s="105">
        <f t="shared" si="6"/>
        <v>0</v>
      </c>
      <c r="K46" s="105"/>
      <c r="L46" s="104">
        <v>0</v>
      </c>
      <c r="M46" s="105">
        <f t="shared" si="8"/>
        <v>0</v>
      </c>
      <c r="N46" s="163"/>
      <c r="O46" s="220">
        <v>0</v>
      </c>
      <c r="P46" s="178">
        <f t="shared" si="9"/>
        <v>0</v>
      </c>
      <c r="Q46" s="106"/>
    </row>
    <row r="47" spans="1:17" ht="15" thickBot="1">
      <c r="A47" s="107"/>
      <c r="B47" s="108"/>
      <c r="C47" s="87" t="s">
        <v>47</v>
      </c>
      <c r="D47" s="88"/>
      <c r="E47" s="88"/>
      <c r="F47" s="88"/>
      <c r="G47" s="88"/>
      <c r="H47" s="193">
        <f>SUM(H48:H55)</f>
        <v>115000</v>
      </c>
      <c r="I47" s="193">
        <f>SUM(I48:I55)</f>
        <v>91500</v>
      </c>
      <c r="J47" s="90">
        <f t="shared" si="6"/>
        <v>0.004423144385789844</v>
      </c>
      <c r="K47" s="90">
        <f>I47/H47-1</f>
        <v>-0.20434782608695656</v>
      </c>
      <c r="L47" s="193">
        <f>SUM(L48:L55)</f>
        <v>150000</v>
      </c>
      <c r="M47" s="90">
        <f t="shared" si="8"/>
        <v>0.007768489886358387</v>
      </c>
      <c r="N47" s="160">
        <f t="shared" si="0"/>
        <v>0.639344262295082</v>
      </c>
      <c r="O47" s="221">
        <f>SUM(O48:O55)</f>
        <v>150001</v>
      </c>
      <c r="P47" s="177">
        <f t="shared" si="9"/>
        <v>0.007572453254548035</v>
      </c>
      <c r="Q47" s="91">
        <f>O47/L47-1</f>
        <v>6.666666666710341E-06</v>
      </c>
    </row>
    <row r="48" spans="1:17" s="82" customFormat="1" ht="14.25">
      <c r="A48" s="41" t="s">
        <v>23</v>
      </c>
      <c r="B48" s="93" t="s">
        <v>30</v>
      </c>
      <c r="C48" s="227" t="s">
        <v>42</v>
      </c>
      <c r="D48" s="199" t="s">
        <v>70</v>
      </c>
      <c r="E48" s="200"/>
      <c r="F48" s="200"/>
      <c r="G48" s="200"/>
      <c r="H48" s="201"/>
      <c r="I48" s="201"/>
      <c r="J48" s="202"/>
      <c r="K48" s="202"/>
      <c r="L48" s="201"/>
      <c r="M48" s="202"/>
      <c r="N48" s="203"/>
      <c r="O48" s="218"/>
      <c r="P48" s="204"/>
      <c r="Q48" s="81"/>
    </row>
    <row r="49" spans="1:17" s="82" customFormat="1" ht="14.25">
      <c r="A49" s="46"/>
      <c r="B49" s="109"/>
      <c r="C49" s="228"/>
      <c r="D49" s="186" t="s">
        <v>67</v>
      </c>
      <c r="E49" s="188" t="s">
        <v>51</v>
      </c>
      <c r="F49" s="194"/>
      <c r="G49" s="194"/>
      <c r="H49" s="205">
        <v>0</v>
      </c>
      <c r="I49" s="206">
        <v>0</v>
      </c>
      <c r="J49" s="207">
        <f>I49/$I$58</f>
        <v>0</v>
      </c>
      <c r="K49" s="207"/>
      <c r="L49" s="206">
        <v>40000</v>
      </c>
      <c r="M49" s="207">
        <f aca="true" t="shared" si="11" ref="M49:M54">L49/$L$57</f>
        <v>0.0020715973030289033</v>
      </c>
      <c r="N49" s="208"/>
      <c r="O49" s="219">
        <f>'7_F-SSP'!E35</f>
        <v>44593</v>
      </c>
      <c r="P49" s="209">
        <f>O49/$O$57</f>
        <v>0.0022511743787045455</v>
      </c>
      <c r="Q49" s="99">
        <f>O49/L49-1</f>
        <v>0.11482499999999995</v>
      </c>
    </row>
    <row r="50" spans="1:17" s="82" customFormat="1" ht="14.25">
      <c r="A50" s="954"/>
      <c r="B50" s="109"/>
      <c r="C50" s="228"/>
      <c r="D50" s="228"/>
      <c r="E50" s="188" t="s">
        <v>50</v>
      </c>
      <c r="F50" s="194"/>
      <c r="G50" s="194"/>
      <c r="H50" s="205">
        <v>5000</v>
      </c>
      <c r="I50" s="206">
        <v>3500</v>
      </c>
      <c r="J50" s="207">
        <f>I50/$I$58</f>
        <v>0.00016919131530343664</v>
      </c>
      <c r="K50" s="207">
        <f>I50/H50-1</f>
        <v>-0.30000000000000004</v>
      </c>
      <c r="L50" s="206">
        <v>19000</v>
      </c>
      <c r="M50" s="207">
        <f t="shared" si="11"/>
        <v>0.000984008718938729</v>
      </c>
      <c r="N50" s="208"/>
      <c r="O50" s="219">
        <v>22000</v>
      </c>
      <c r="P50" s="209">
        <f>O50/$O$57</f>
        <v>0.001110619073206557</v>
      </c>
      <c r="Q50" s="99">
        <f>O50/L50-1</f>
        <v>0.1578947368421053</v>
      </c>
    </row>
    <row r="51" spans="1:17" s="82" customFormat="1" ht="14.25">
      <c r="A51" s="954"/>
      <c r="B51" s="109"/>
      <c r="C51" s="228"/>
      <c r="D51" s="228"/>
      <c r="E51" s="194" t="s">
        <v>71</v>
      </c>
      <c r="F51" s="194"/>
      <c r="G51" s="195"/>
      <c r="H51" s="205">
        <v>0</v>
      </c>
      <c r="I51" s="205">
        <v>0</v>
      </c>
      <c r="J51" s="210">
        <f>I51/$I$58</f>
        <v>0</v>
      </c>
      <c r="K51" s="210"/>
      <c r="L51" s="205">
        <v>0</v>
      </c>
      <c r="M51" s="210">
        <f t="shared" si="11"/>
        <v>0</v>
      </c>
      <c r="N51" s="211"/>
      <c r="O51" s="222">
        <v>15000</v>
      </c>
      <c r="P51" s="212">
        <f>O51/$O$57</f>
        <v>0.000757240277186289</v>
      </c>
      <c r="Q51" s="99"/>
    </row>
    <row r="52" spans="1:17" s="82" customFormat="1" ht="14.25">
      <c r="A52" s="954"/>
      <c r="B52" s="109"/>
      <c r="C52" s="228"/>
      <c r="D52" s="228"/>
      <c r="E52" s="188" t="s">
        <v>48</v>
      </c>
      <c r="F52" s="194"/>
      <c r="G52" s="194"/>
      <c r="H52" s="205">
        <v>15000</v>
      </c>
      <c r="I52" s="206">
        <v>10000</v>
      </c>
      <c r="J52" s="207">
        <f>I52/$I$58</f>
        <v>0.000483403758009819</v>
      </c>
      <c r="K52" s="207">
        <f>I52/H52-1</f>
        <v>-0.33333333333333337</v>
      </c>
      <c r="L52" s="206">
        <v>10000</v>
      </c>
      <c r="M52" s="207">
        <f t="shared" si="11"/>
        <v>0.0005178993257572258</v>
      </c>
      <c r="N52" s="208">
        <f>L52/I52-1</f>
        <v>0</v>
      </c>
      <c r="O52" s="219">
        <v>10000</v>
      </c>
      <c r="P52" s="209">
        <f>O52/$O$57</f>
        <v>0.000504826851457526</v>
      </c>
      <c r="Q52" s="99">
        <f>O52/L52-1</f>
        <v>0</v>
      </c>
    </row>
    <row r="53" spans="1:17" s="82" customFormat="1" ht="14.25">
      <c r="A53" s="954"/>
      <c r="B53" s="109"/>
      <c r="C53" s="228"/>
      <c r="D53" s="228"/>
      <c r="E53" s="188" t="s">
        <v>49</v>
      </c>
      <c r="F53" s="189"/>
      <c r="G53" s="189"/>
      <c r="H53" s="205">
        <v>15000</v>
      </c>
      <c r="I53" s="206">
        <v>26000</v>
      </c>
      <c r="J53" s="207">
        <f>I53/$I$58</f>
        <v>0.0012568497708255295</v>
      </c>
      <c r="K53" s="207">
        <f>I53/H53-1</f>
        <v>0.7333333333333334</v>
      </c>
      <c r="L53" s="206">
        <v>26000</v>
      </c>
      <c r="M53" s="207">
        <f t="shared" si="11"/>
        <v>0.001346538246968787</v>
      </c>
      <c r="N53" s="208">
        <f>L53/I53-1</f>
        <v>0</v>
      </c>
      <c r="O53" s="219">
        <v>26000</v>
      </c>
      <c r="P53" s="209">
        <f>O53/$O$57</f>
        <v>0.0013125498137895675</v>
      </c>
      <c r="Q53" s="99">
        <f>O53/L53-1</f>
        <v>0</v>
      </c>
    </row>
    <row r="54" spans="1:17" s="82" customFormat="1" ht="14.25">
      <c r="A54" s="954"/>
      <c r="B54" s="109"/>
      <c r="C54" s="228"/>
      <c r="D54" s="230"/>
      <c r="E54" s="189" t="s">
        <v>72</v>
      </c>
      <c r="F54" s="189"/>
      <c r="G54" s="189"/>
      <c r="H54" s="205">
        <f>50000+15000</f>
        <v>65000</v>
      </c>
      <c r="I54" s="205">
        <f>25000+2000+15000</f>
        <v>42000</v>
      </c>
      <c r="J54" s="210"/>
      <c r="K54" s="210"/>
      <c r="L54" s="205">
        <v>15000</v>
      </c>
      <c r="M54" s="210">
        <f t="shared" si="11"/>
        <v>0.0007768489886358387</v>
      </c>
      <c r="N54" s="211"/>
      <c r="O54" s="222">
        <f>20000+2408</f>
        <v>22408</v>
      </c>
      <c r="P54" s="212"/>
      <c r="Q54" s="96"/>
    </row>
    <row r="55" spans="1:17" s="82" customFormat="1" ht="14.25">
      <c r="A55" s="954" t="s">
        <v>23</v>
      </c>
      <c r="B55" s="109" t="s">
        <v>30</v>
      </c>
      <c r="C55" s="230"/>
      <c r="D55" s="213" t="s">
        <v>73</v>
      </c>
      <c r="E55" s="194"/>
      <c r="F55" s="194"/>
      <c r="G55" s="194"/>
      <c r="H55" s="205">
        <v>15000</v>
      </c>
      <c r="I55" s="205">
        <v>10000</v>
      </c>
      <c r="J55" s="210"/>
      <c r="K55" s="210"/>
      <c r="L55" s="205">
        <v>40000</v>
      </c>
      <c r="M55" s="210"/>
      <c r="N55" s="211"/>
      <c r="O55" s="222">
        <v>10000</v>
      </c>
      <c r="P55" s="212"/>
      <c r="Q55" s="99"/>
    </row>
    <row r="56" spans="1:18" s="63" customFormat="1" ht="15.75" thickBot="1">
      <c r="A56" s="58"/>
      <c r="B56" s="190"/>
      <c r="C56" s="191" t="s">
        <v>52</v>
      </c>
      <c r="D56" s="192"/>
      <c r="E56" s="192"/>
      <c r="F56" s="192"/>
      <c r="G56" s="192"/>
      <c r="H56" s="60">
        <f>H38+H47</f>
        <v>426379</v>
      </c>
      <c r="I56" s="60">
        <f>I38+I47</f>
        <v>401582</v>
      </c>
      <c r="J56" s="61">
        <f>I56/$I$58</f>
        <v>0.019412624794909912</v>
      </c>
      <c r="K56" s="61">
        <f>I56/H56-1</f>
        <v>-0.05815717941080589</v>
      </c>
      <c r="L56" s="60">
        <f>L38+L47</f>
        <v>442180</v>
      </c>
      <c r="M56" s="61">
        <f>L56/$L$57</f>
        <v>0.02290047238633301</v>
      </c>
      <c r="N56" s="157">
        <f t="shared" si="0"/>
        <v>0.1010951686081547</v>
      </c>
      <c r="O56" s="216">
        <f>O38+O47</f>
        <v>503798</v>
      </c>
      <c r="P56" s="173">
        <f>O56/$O$57</f>
        <v>0.025433075811059868</v>
      </c>
      <c r="Q56" s="62">
        <f>O56/L56-1</f>
        <v>0.1393504907503731</v>
      </c>
      <c r="R56" s="122"/>
    </row>
    <row r="57" spans="1:17" s="113" customFormat="1" ht="21" thickBot="1">
      <c r="A57" s="33"/>
      <c r="B57" s="34"/>
      <c r="C57" s="6"/>
      <c r="D57" s="6"/>
      <c r="E57" s="6"/>
      <c r="F57" s="6"/>
      <c r="G57" s="6"/>
      <c r="H57" s="110"/>
      <c r="I57" s="111"/>
      <c r="J57" s="68"/>
      <c r="K57" s="68"/>
      <c r="L57" s="64">
        <f>L60-L59</f>
        <v>19308772</v>
      </c>
      <c r="M57" s="68">
        <f>L57/$L$57</f>
        <v>1</v>
      </c>
      <c r="N57" s="164"/>
      <c r="O57" s="217">
        <f>O60</f>
        <v>19808772</v>
      </c>
      <c r="P57" s="68">
        <f>O57/$O$57</f>
        <v>1</v>
      </c>
      <c r="Q57" s="112"/>
    </row>
    <row r="58" spans="1:17" s="122" customFormat="1" ht="15.75">
      <c r="A58" s="114"/>
      <c r="B58" s="115"/>
      <c r="C58" s="116" t="s">
        <v>53</v>
      </c>
      <c r="D58" s="117"/>
      <c r="E58" s="117"/>
      <c r="F58" s="117"/>
      <c r="G58" s="118"/>
      <c r="H58" s="119">
        <f>H19+H28+H35+H56</f>
        <v>21615242</v>
      </c>
      <c r="I58" s="119">
        <f>I19+I28+I35+I56</f>
        <v>20686641</v>
      </c>
      <c r="J58" s="120">
        <f>I58/$I$58</f>
        <v>1</v>
      </c>
      <c r="K58" s="120">
        <f>I58/H58-1</f>
        <v>-0.04296047205948472</v>
      </c>
      <c r="L58" s="119">
        <f>L19+L28+L35+L56</f>
        <v>19308772</v>
      </c>
      <c r="M58" s="120">
        <f>L58/$L$57</f>
        <v>1</v>
      </c>
      <c r="N58" s="165">
        <f t="shared" si="0"/>
        <v>-0.06660670526452317</v>
      </c>
      <c r="O58" s="223">
        <f>O19+O28+O35+O56</f>
        <v>19808772</v>
      </c>
      <c r="P58" s="179">
        <f>O58/$O$57</f>
        <v>1</v>
      </c>
      <c r="Q58" s="121">
        <f>O58/L58-1</f>
        <v>0.025894966287861365</v>
      </c>
    </row>
    <row r="59" spans="1:17" s="122" customFormat="1" ht="15">
      <c r="A59" s="123"/>
      <c r="B59" s="124"/>
      <c r="C59" s="935" t="s">
        <v>54</v>
      </c>
      <c r="D59" s="125"/>
      <c r="E59" s="125"/>
      <c r="F59" s="125"/>
      <c r="G59" s="125"/>
      <c r="H59" s="126"/>
      <c r="I59" s="74">
        <v>-525733</v>
      </c>
      <c r="J59" s="75"/>
      <c r="K59" s="75"/>
      <c r="L59" s="74">
        <v>-450000</v>
      </c>
      <c r="M59" s="127"/>
      <c r="N59" s="166"/>
      <c r="O59" s="224"/>
      <c r="P59" s="180"/>
      <c r="Q59" s="128"/>
    </row>
    <row r="60" spans="1:17" s="63" customFormat="1" ht="15">
      <c r="A60" s="129"/>
      <c r="B60" s="130"/>
      <c r="C60" s="966" t="s">
        <v>55</v>
      </c>
      <c r="D60" s="967"/>
      <c r="E60" s="967"/>
      <c r="F60" s="967"/>
      <c r="G60" s="967"/>
      <c r="H60" s="126">
        <f>20815242+800000</f>
        <v>21615242</v>
      </c>
      <c r="I60" s="126">
        <v>20160908</v>
      </c>
      <c r="J60" s="127">
        <f>I60/$I$58</f>
        <v>0.9745858692090223</v>
      </c>
      <c r="K60" s="127">
        <f>I60/H60-1</f>
        <v>-0.06728279979470042</v>
      </c>
      <c r="L60" s="126">
        <v>18858772</v>
      </c>
      <c r="M60" s="127">
        <f>L60/$L$57</f>
        <v>0.9766945303409248</v>
      </c>
      <c r="N60" s="167">
        <f t="shared" si="0"/>
        <v>-0.06458717037942929</v>
      </c>
      <c r="O60" s="225">
        <v>19808772</v>
      </c>
      <c r="P60" s="180">
        <f>O60/$O$57</f>
        <v>1</v>
      </c>
      <c r="Q60" s="131">
        <f>O60/L60-1</f>
        <v>0.05037443583283152</v>
      </c>
    </row>
    <row r="61" spans="1:17" s="63" customFormat="1" ht="15.75" thickBot="1">
      <c r="A61" s="132"/>
      <c r="B61" s="133"/>
      <c r="C61" s="955" t="s">
        <v>56</v>
      </c>
      <c r="D61" s="956"/>
      <c r="E61" s="956"/>
      <c r="F61" s="956"/>
      <c r="G61" s="956"/>
      <c r="H61" s="134">
        <f>H60-H58</f>
        <v>0</v>
      </c>
      <c r="I61" s="135">
        <f>I60-I58-I59</f>
        <v>0</v>
      </c>
      <c r="J61" s="136"/>
      <c r="K61" s="136"/>
      <c r="L61" s="135"/>
      <c r="M61" s="136"/>
      <c r="N61" s="168"/>
      <c r="O61" s="226"/>
      <c r="P61" s="181"/>
      <c r="Q61" s="137"/>
    </row>
    <row r="62" spans="1:15" ht="13.5">
      <c r="A62" s="138"/>
      <c r="B62" s="138"/>
      <c r="C62" s="138"/>
      <c r="D62" s="138"/>
      <c r="E62" s="138"/>
      <c r="F62" s="138"/>
      <c r="G62" s="138"/>
      <c r="H62" s="139"/>
      <c r="I62" s="140"/>
      <c r="J62" s="141"/>
      <c r="K62" s="142"/>
      <c r="L62" s="142"/>
      <c r="M62" s="141"/>
      <c r="N62" s="142"/>
      <c r="O62" s="142"/>
    </row>
    <row r="63" spans="1:15" ht="14.25">
      <c r="A63" s="143" t="s">
        <v>57</v>
      </c>
      <c r="B63" s="138"/>
      <c r="C63" s="138"/>
      <c r="D63" s="138"/>
      <c r="E63" s="138"/>
      <c r="F63" s="138"/>
      <c r="G63" s="140"/>
      <c r="H63" s="140"/>
      <c r="I63" s="140"/>
      <c r="J63" s="144"/>
      <c r="K63" s="140"/>
      <c r="L63" s="139"/>
      <c r="M63" s="144"/>
      <c r="N63" s="139"/>
      <c r="O63"/>
    </row>
    <row r="64" spans="10:14" s="145" customFormat="1" ht="22.5">
      <c r="J64" s="146"/>
      <c r="K64" s="146"/>
      <c r="L64" s="146"/>
      <c r="M64" s="146"/>
      <c r="N64" s="146"/>
    </row>
    <row r="65" spans="10:14" s="145" customFormat="1" ht="12.75">
      <c r="J65" s="147"/>
      <c r="L65" s="148"/>
      <c r="M65" s="147"/>
      <c r="N65" s="148"/>
    </row>
    <row r="66" spans="8:13" ht="13.5">
      <c r="H66" s="4" t="s">
        <v>58</v>
      </c>
      <c r="J66" s="149"/>
      <c r="L66" s="150"/>
      <c r="M66" s="149"/>
    </row>
    <row r="67" spans="10:13" ht="13.5">
      <c r="J67" s="149"/>
      <c r="L67" s="150"/>
      <c r="M67" s="149"/>
    </row>
    <row r="68" spans="10:13" ht="13.5">
      <c r="J68" s="149"/>
      <c r="L68" s="150"/>
      <c r="M68" s="149"/>
    </row>
    <row r="69" spans="10:13" ht="13.5">
      <c r="J69" s="149"/>
      <c r="L69" s="150"/>
      <c r="M69" s="149"/>
    </row>
    <row r="70" ht="22.5">
      <c r="I70" s="151"/>
    </row>
    <row r="71" ht="22.5">
      <c r="I71" s="151"/>
    </row>
    <row r="72" ht="22.5">
      <c r="I72" s="151"/>
    </row>
    <row r="73" ht="22.5">
      <c r="I73" s="151"/>
    </row>
    <row r="74" ht="22.5">
      <c r="I74" s="151"/>
    </row>
    <row r="75" ht="22.5">
      <c r="I75" s="151"/>
    </row>
    <row r="76" ht="22.5">
      <c r="I76" s="151"/>
    </row>
    <row r="77" ht="22.5">
      <c r="I77" s="151"/>
    </row>
    <row r="78" ht="22.5">
      <c r="I78" s="151"/>
    </row>
    <row r="79" ht="22.5">
      <c r="I79" s="151"/>
    </row>
    <row r="80" ht="22.5">
      <c r="I80" s="151"/>
    </row>
    <row r="81" ht="22.5">
      <c r="I81" s="151"/>
    </row>
    <row r="82" ht="22.5">
      <c r="I82" s="151"/>
    </row>
    <row r="83" ht="22.5">
      <c r="I83" s="151"/>
    </row>
    <row r="84" ht="22.5">
      <c r="I84" s="151"/>
    </row>
    <row r="85" ht="22.5">
      <c r="I85" s="151"/>
    </row>
    <row r="86" ht="22.5">
      <c r="I86" s="151"/>
    </row>
    <row r="87" ht="22.5">
      <c r="I87" s="151"/>
    </row>
    <row r="88" ht="22.5">
      <c r="I88" s="151"/>
    </row>
    <row r="89" ht="22.5">
      <c r="I89" s="151"/>
    </row>
    <row r="90" ht="22.5">
      <c r="I90" s="151"/>
    </row>
    <row r="91" ht="22.5">
      <c r="I91" s="151"/>
    </row>
    <row r="92" ht="22.5">
      <c r="I92" s="151"/>
    </row>
    <row r="93" ht="22.5">
      <c r="I93" s="151"/>
    </row>
    <row r="94" ht="22.5">
      <c r="I94" s="151"/>
    </row>
    <row r="95" ht="22.5">
      <c r="I95" s="151"/>
    </row>
  </sheetData>
  <sheetProtection/>
  <mergeCells count="42">
    <mergeCell ref="O10:O12"/>
    <mergeCell ref="P10:P12"/>
    <mergeCell ref="Q10:Q12"/>
    <mergeCell ref="A4:D4"/>
    <mergeCell ref="J4:K4"/>
    <mergeCell ref="A5:D5"/>
    <mergeCell ref="J5:K5"/>
    <mergeCell ref="A6:D6"/>
    <mergeCell ref="J6:K6"/>
    <mergeCell ref="A7:D7"/>
    <mergeCell ref="J7:K7"/>
    <mergeCell ref="A8:H8"/>
    <mergeCell ref="J8:K8"/>
    <mergeCell ref="A9:I9"/>
    <mergeCell ref="A10:A12"/>
    <mergeCell ref="B10:B12"/>
    <mergeCell ref="C10:G12"/>
    <mergeCell ref="H10:H12"/>
    <mergeCell ref="I10:I12"/>
    <mergeCell ref="J10:J12"/>
    <mergeCell ref="C16:G16"/>
    <mergeCell ref="C17:G17"/>
    <mergeCell ref="C18:G18"/>
    <mergeCell ref="C19:G19"/>
    <mergeCell ref="C22:G22"/>
    <mergeCell ref="C23:G23"/>
    <mergeCell ref="A1:Q1"/>
    <mergeCell ref="C32:G32"/>
    <mergeCell ref="C35:G35"/>
    <mergeCell ref="C60:G60"/>
    <mergeCell ref="K10:K12"/>
    <mergeCell ref="L10:L12"/>
    <mergeCell ref="M10:M12"/>
    <mergeCell ref="N10:N12"/>
    <mergeCell ref="C13:G13"/>
    <mergeCell ref="C31:G31"/>
    <mergeCell ref="C61:G61"/>
    <mergeCell ref="C24:G24"/>
    <mergeCell ref="C25:G25"/>
    <mergeCell ref="C26:G26"/>
    <mergeCell ref="C27:G27"/>
    <mergeCell ref="C28:G28"/>
  </mergeCells>
  <printOptions horizontalCentered="1"/>
  <pageMargins left="0.1968503937007874" right="0.2362204724409449" top="0.4724409448818898" bottom="0.31496062992125984" header="0.15748031496062992" footer="0.15748031496062992"/>
  <pageSetup fitToHeight="1" fitToWidth="1" horizontalDpi="600" verticalDpi="600" orientation="landscape" paperSize="8" scale="5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39"/>
  <sheetViews>
    <sheetView zoomScale="89" zoomScaleNormal="89" zoomScalePageLayoutView="0" workbookViewId="0" topLeftCell="A1">
      <selection activeCell="A2" sqref="A2"/>
    </sheetView>
  </sheetViews>
  <sheetFormatPr defaultColWidth="9.140625" defaultRowHeight="15"/>
  <cols>
    <col min="1" max="1" width="11.7109375" style="0" customWidth="1"/>
    <col min="2" max="2" width="12.8515625" style="0" customWidth="1"/>
    <col min="3" max="3" width="12.7109375" style="0" customWidth="1"/>
    <col min="4" max="4" width="10.57421875" style="0" customWidth="1"/>
    <col min="5" max="5" width="12.7109375" style="0" customWidth="1"/>
    <col min="6" max="6" width="12.8515625" style="0" customWidth="1"/>
  </cols>
  <sheetData>
    <row r="1" spans="1:7" ht="43.5" customHeight="1">
      <c r="A1" s="1126" t="s">
        <v>448</v>
      </c>
      <c r="B1" s="1126"/>
      <c r="C1" s="1126"/>
      <c r="D1" s="1126"/>
      <c r="E1" s="1126"/>
      <c r="F1" s="1126"/>
      <c r="G1" s="281"/>
    </row>
    <row r="2" spans="1:7" ht="14.25">
      <c r="A2" s="282"/>
      <c r="B2" s="282"/>
      <c r="C2" s="282"/>
      <c r="D2" s="282"/>
      <c r="E2" s="282"/>
      <c r="F2" s="282"/>
      <c r="G2" s="281"/>
    </row>
    <row r="3" spans="1:7" ht="15" thickBot="1">
      <c r="A3" s="283"/>
      <c r="B3" s="283"/>
      <c r="C3" s="283"/>
      <c r="D3" s="283"/>
      <c r="E3" s="283"/>
      <c r="F3" s="283"/>
      <c r="G3" s="281"/>
    </row>
    <row r="4" spans="1:7" ht="14.25">
      <c r="A4" s="284" t="s">
        <v>114</v>
      </c>
      <c r="B4" s="285" t="s">
        <v>115</v>
      </c>
      <c r="C4" s="286"/>
      <c r="D4" s="286"/>
      <c r="E4" s="287"/>
      <c r="F4" s="288" t="s">
        <v>116</v>
      </c>
      <c r="G4" s="289"/>
    </row>
    <row r="5" spans="1:7" ht="27" thickBot="1">
      <c r="A5" s="290"/>
      <c r="B5" s="291" t="s">
        <v>117</v>
      </c>
      <c r="C5" s="291" t="s">
        <v>118</v>
      </c>
      <c r="D5" s="291" t="s">
        <v>119</v>
      </c>
      <c r="E5" s="291" t="s">
        <v>120</v>
      </c>
      <c r="F5" s="292" t="s">
        <v>121</v>
      </c>
      <c r="G5" s="293"/>
    </row>
    <row r="6" spans="1:7" ht="12.75" customHeight="1">
      <c r="A6" s="294" t="s">
        <v>122</v>
      </c>
      <c r="B6" s="295">
        <v>921385</v>
      </c>
      <c r="C6" s="295">
        <v>194180</v>
      </c>
      <c r="D6" s="295">
        <f>C6*0.4</f>
        <v>77672</v>
      </c>
      <c r="E6" s="295">
        <f>B6+D6</f>
        <v>999057</v>
      </c>
      <c r="F6" s="296">
        <f aca="true" t="shared" si="0" ref="F6:F31">ROUND(E6*$F$36/$E$32,0)</f>
        <v>17933</v>
      </c>
      <c r="G6" s="293"/>
    </row>
    <row r="7" spans="1:7" ht="12.75" customHeight="1">
      <c r="A7" s="297" t="s">
        <v>123</v>
      </c>
      <c r="B7" s="295">
        <v>452791</v>
      </c>
      <c r="C7" s="295">
        <v>26340</v>
      </c>
      <c r="D7" s="295">
        <f aca="true" t="shared" si="1" ref="D7:D31">C7*0.4</f>
        <v>10536</v>
      </c>
      <c r="E7" s="295">
        <f aca="true" t="shared" si="2" ref="E7:E31">B7+D7</f>
        <v>463327</v>
      </c>
      <c r="F7" s="296">
        <f t="shared" si="0"/>
        <v>8317</v>
      </c>
      <c r="G7" s="293"/>
    </row>
    <row r="8" spans="1:7" ht="12.75" customHeight="1">
      <c r="A8" s="297" t="s">
        <v>124</v>
      </c>
      <c r="B8" s="295">
        <v>21868</v>
      </c>
      <c r="C8" s="295">
        <v>765</v>
      </c>
      <c r="D8" s="295">
        <f t="shared" si="1"/>
        <v>306</v>
      </c>
      <c r="E8" s="295">
        <f t="shared" si="2"/>
        <v>22174</v>
      </c>
      <c r="F8" s="296">
        <f t="shared" si="0"/>
        <v>398</v>
      </c>
      <c r="G8" s="293"/>
    </row>
    <row r="9" spans="1:7" ht="12.75" customHeight="1">
      <c r="A9" s="297" t="s">
        <v>125</v>
      </c>
      <c r="B9" s="295">
        <v>1803149</v>
      </c>
      <c r="C9" s="295">
        <v>56594</v>
      </c>
      <c r="D9" s="295">
        <f t="shared" si="1"/>
        <v>22637.600000000002</v>
      </c>
      <c r="E9" s="295">
        <f t="shared" si="2"/>
        <v>1825786.6</v>
      </c>
      <c r="F9" s="296">
        <f t="shared" si="0"/>
        <v>32772</v>
      </c>
      <c r="G9" s="293"/>
    </row>
    <row r="10" spans="1:7" ht="12.75" customHeight="1">
      <c r="A10" s="297" t="s">
        <v>126</v>
      </c>
      <c r="B10" s="295">
        <v>498018</v>
      </c>
      <c r="C10" s="295">
        <v>54778</v>
      </c>
      <c r="D10" s="295">
        <f t="shared" si="1"/>
        <v>21911.2</v>
      </c>
      <c r="E10" s="295">
        <f t="shared" si="2"/>
        <v>519929.2</v>
      </c>
      <c r="F10" s="296">
        <f t="shared" si="0"/>
        <v>9333</v>
      </c>
      <c r="G10" s="293"/>
    </row>
    <row r="11" spans="1:7" ht="12.75" customHeight="1">
      <c r="A11" s="297" t="s">
        <v>127</v>
      </c>
      <c r="B11" s="295">
        <v>0</v>
      </c>
      <c r="C11" s="295">
        <v>0</v>
      </c>
      <c r="D11" s="295">
        <f t="shared" si="1"/>
        <v>0</v>
      </c>
      <c r="E11" s="295">
        <f t="shared" si="2"/>
        <v>0</v>
      </c>
      <c r="F11" s="296">
        <f t="shared" si="0"/>
        <v>0</v>
      </c>
      <c r="G11" s="293"/>
    </row>
    <row r="12" spans="1:7" ht="12.75" customHeight="1">
      <c r="A12" s="297" t="s">
        <v>128</v>
      </c>
      <c r="B12" s="295">
        <v>91055</v>
      </c>
      <c r="C12" s="295">
        <v>10494</v>
      </c>
      <c r="D12" s="295">
        <f t="shared" si="1"/>
        <v>4197.6</v>
      </c>
      <c r="E12" s="295">
        <f t="shared" si="2"/>
        <v>95252.6</v>
      </c>
      <c r="F12" s="296">
        <f t="shared" si="0"/>
        <v>1710</v>
      </c>
      <c r="G12" s="293"/>
    </row>
    <row r="13" spans="1:7" ht="12.75" customHeight="1">
      <c r="A13" s="297" t="s">
        <v>129</v>
      </c>
      <c r="B13" s="295">
        <v>26346</v>
      </c>
      <c r="C13" s="295">
        <v>0</v>
      </c>
      <c r="D13" s="295">
        <f t="shared" si="1"/>
        <v>0</v>
      </c>
      <c r="E13" s="295">
        <f t="shared" si="2"/>
        <v>26346</v>
      </c>
      <c r="F13" s="296">
        <f t="shared" si="0"/>
        <v>473</v>
      </c>
      <c r="G13" s="293"/>
    </row>
    <row r="14" spans="1:7" ht="12.75" customHeight="1">
      <c r="A14" s="297" t="s">
        <v>130</v>
      </c>
      <c r="B14" s="295">
        <v>355582</v>
      </c>
      <c r="C14" s="295">
        <v>6455</v>
      </c>
      <c r="D14" s="295">
        <f t="shared" si="1"/>
        <v>2582</v>
      </c>
      <c r="E14" s="295">
        <f t="shared" si="2"/>
        <v>358164</v>
      </c>
      <c r="F14" s="296">
        <f t="shared" si="0"/>
        <v>6429</v>
      </c>
      <c r="G14" s="293"/>
    </row>
    <row r="15" spans="1:7" ht="12.75" customHeight="1">
      <c r="A15" s="297" t="s">
        <v>131</v>
      </c>
      <c r="B15" s="295">
        <v>975689</v>
      </c>
      <c r="C15" s="295">
        <v>151154</v>
      </c>
      <c r="D15" s="295">
        <f t="shared" si="1"/>
        <v>60461.600000000006</v>
      </c>
      <c r="E15" s="295">
        <f t="shared" si="2"/>
        <v>1036150.6</v>
      </c>
      <c r="F15" s="296">
        <f t="shared" si="0"/>
        <v>18599</v>
      </c>
      <c r="G15" s="293"/>
    </row>
    <row r="16" spans="1:7" ht="12.75" customHeight="1">
      <c r="A16" s="297" t="s">
        <v>132</v>
      </c>
      <c r="B16" s="295">
        <v>128883</v>
      </c>
      <c r="C16" s="295">
        <v>27189</v>
      </c>
      <c r="D16" s="295">
        <f t="shared" si="1"/>
        <v>10875.6</v>
      </c>
      <c r="E16" s="295">
        <f t="shared" si="2"/>
        <v>139758.6</v>
      </c>
      <c r="F16" s="296">
        <f t="shared" si="0"/>
        <v>2509</v>
      </c>
      <c r="G16" s="293"/>
    </row>
    <row r="17" spans="1:7" ht="12.75" customHeight="1">
      <c r="A17" s="297" t="s">
        <v>133</v>
      </c>
      <c r="B17" s="295">
        <v>526675</v>
      </c>
      <c r="C17" s="295">
        <v>90234</v>
      </c>
      <c r="D17" s="295">
        <f t="shared" si="1"/>
        <v>36093.6</v>
      </c>
      <c r="E17" s="295">
        <f t="shared" si="2"/>
        <v>562768.6</v>
      </c>
      <c r="F17" s="296">
        <f t="shared" si="0"/>
        <v>10102</v>
      </c>
      <c r="G17" s="293"/>
    </row>
    <row r="18" spans="1:7" ht="12.75" customHeight="1">
      <c r="A18" s="297" t="s">
        <v>134</v>
      </c>
      <c r="B18" s="295">
        <v>224000</v>
      </c>
      <c r="C18" s="295">
        <v>31789</v>
      </c>
      <c r="D18" s="295">
        <f t="shared" si="1"/>
        <v>12715.6</v>
      </c>
      <c r="E18" s="295">
        <f t="shared" si="2"/>
        <v>236715.6</v>
      </c>
      <c r="F18" s="296">
        <f t="shared" si="0"/>
        <v>4249</v>
      </c>
      <c r="G18" s="293"/>
    </row>
    <row r="19" spans="1:7" ht="12.75" customHeight="1">
      <c r="A19" s="297" t="s">
        <v>135</v>
      </c>
      <c r="B19" s="295">
        <v>257675</v>
      </c>
      <c r="C19" s="295">
        <v>23168</v>
      </c>
      <c r="D19" s="295">
        <f t="shared" si="1"/>
        <v>9267.2</v>
      </c>
      <c r="E19" s="295">
        <f t="shared" si="2"/>
        <v>266942.2</v>
      </c>
      <c r="F19" s="296">
        <f t="shared" si="0"/>
        <v>4792</v>
      </c>
      <c r="G19" s="293"/>
    </row>
    <row r="20" spans="1:7" ht="12.75" customHeight="1">
      <c r="A20" s="297" t="s">
        <v>136</v>
      </c>
      <c r="B20" s="295">
        <v>1415250</v>
      </c>
      <c r="C20" s="295">
        <v>119289</v>
      </c>
      <c r="D20" s="295">
        <f t="shared" si="1"/>
        <v>47715.600000000006</v>
      </c>
      <c r="E20" s="295">
        <f t="shared" si="2"/>
        <v>1462965.6</v>
      </c>
      <c r="F20" s="296">
        <f t="shared" si="0"/>
        <v>26260</v>
      </c>
      <c r="G20" s="293"/>
    </row>
    <row r="21" spans="1:7" ht="12.75" customHeight="1">
      <c r="A21" s="297" t="s">
        <v>137</v>
      </c>
      <c r="B21" s="295">
        <v>338912</v>
      </c>
      <c r="C21" s="295">
        <v>130164</v>
      </c>
      <c r="D21" s="295">
        <f t="shared" si="1"/>
        <v>52065.600000000006</v>
      </c>
      <c r="E21" s="295">
        <f t="shared" si="2"/>
        <v>390977.6</v>
      </c>
      <c r="F21" s="296">
        <f t="shared" si="0"/>
        <v>7018</v>
      </c>
      <c r="G21" s="293"/>
    </row>
    <row r="22" spans="1:7" ht="12.75" customHeight="1">
      <c r="A22" s="297" t="s">
        <v>138</v>
      </c>
      <c r="B22" s="295">
        <v>197663</v>
      </c>
      <c r="C22" s="295">
        <v>29491</v>
      </c>
      <c r="D22" s="295">
        <f t="shared" si="1"/>
        <v>11796.400000000001</v>
      </c>
      <c r="E22" s="295">
        <f t="shared" si="2"/>
        <v>209459.4</v>
      </c>
      <c r="F22" s="296">
        <f t="shared" si="0"/>
        <v>3760</v>
      </c>
      <c r="G22" s="293"/>
    </row>
    <row r="23" spans="1:7" ht="12.75" customHeight="1">
      <c r="A23" s="297" t="s">
        <v>139</v>
      </c>
      <c r="B23" s="295">
        <v>332952</v>
      </c>
      <c r="C23" s="295">
        <v>3701</v>
      </c>
      <c r="D23" s="295">
        <f t="shared" si="1"/>
        <v>1480.4</v>
      </c>
      <c r="E23" s="295">
        <f t="shared" si="2"/>
        <v>334432.4</v>
      </c>
      <c r="F23" s="296">
        <f t="shared" si="0"/>
        <v>6003</v>
      </c>
      <c r="G23" s="293"/>
    </row>
    <row r="24" spans="1:7" ht="12.75" customHeight="1">
      <c r="A24" s="297" t="s">
        <v>140</v>
      </c>
      <c r="B24" s="295">
        <v>294085</v>
      </c>
      <c r="C24" s="295">
        <v>0</v>
      </c>
      <c r="D24" s="295">
        <f t="shared" si="1"/>
        <v>0</v>
      </c>
      <c r="E24" s="295">
        <f t="shared" si="2"/>
        <v>294085</v>
      </c>
      <c r="F24" s="296">
        <f t="shared" si="0"/>
        <v>5279</v>
      </c>
      <c r="G24" s="293"/>
    </row>
    <row r="25" spans="1:7" ht="12.75" customHeight="1">
      <c r="A25" s="297" t="s">
        <v>141</v>
      </c>
      <c r="B25" s="295">
        <v>330199</v>
      </c>
      <c r="C25" s="295">
        <v>38439</v>
      </c>
      <c r="D25" s="295">
        <f t="shared" si="1"/>
        <v>15375.6</v>
      </c>
      <c r="E25" s="295">
        <f t="shared" si="2"/>
        <v>345574.6</v>
      </c>
      <c r="F25" s="296">
        <f t="shared" si="0"/>
        <v>6203</v>
      </c>
      <c r="G25" s="293"/>
    </row>
    <row r="26" spans="1:7" ht="12.75" customHeight="1">
      <c r="A26" s="297" t="s">
        <v>142</v>
      </c>
      <c r="B26" s="295">
        <v>0</v>
      </c>
      <c r="C26" s="295">
        <v>0</v>
      </c>
      <c r="D26" s="295">
        <f t="shared" si="1"/>
        <v>0</v>
      </c>
      <c r="E26" s="295">
        <f t="shared" si="2"/>
        <v>0</v>
      </c>
      <c r="F26" s="296">
        <f t="shared" si="0"/>
        <v>0</v>
      </c>
      <c r="G26" s="293"/>
    </row>
    <row r="27" spans="1:7" ht="12.75" customHeight="1">
      <c r="A27" s="297" t="s">
        <v>143</v>
      </c>
      <c r="B27" s="295">
        <v>0</v>
      </c>
      <c r="C27" s="295">
        <v>0</v>
      </c>
      <c r="D27" s="295">
        <f t="shared" si="1"/>
        <v>0</v>
      </c>
      <c r="E27" s="295">
        <f t="shared" si="2"/>
        <v>0</v>
      </c>
      <c r="F27" s="296">
        <f t="shared" si="0"/>
        <v>0</v>
      </c>
      <c r="G27" s="293"/>
    </row>
    <row r="28" spans="1:7" ht="12.75" customHeight="1">
      <c r="A28" s="297" t="s">
        <v>144</v>
      </c>
      <c r="B28" s="295">
        <v>0</v>
      </c>
      <c r="C28" s="295">
        <v>0</v>
      </c>
      <c r="D28" s="295">
        <f t="shared" si="1"/>
        <v>0</v>
      </c>
      <c r="E28" s="295">
        <f t="shared" si="2"/>
        <v>0</v>
      </c>
      <c r="F28" s="296">
        <f t="shared" si="0"/>
        <v>0</v>
      </c>
      <c r="G28" s="293"/>
    </row>
    <row r="29" spans="1:7" ht="12.75" customHeight="1">
      <c r="A29" s="297" t="s">
        <v>145</v>
      </c>
      <c r="B29" s="295">
        <v>0</v>
      </c>
      <c r="C29" s="295">
        <v>0</v>
      </c>
      <c r="D29" s="295">
        <f t="shared" si="1"/>
        <v>0</v>
      </c>
      <c r="E29" s="295">
        <f t="shared" si="2"/>
        <v>0</v>
      </c>
      <c r="F29" s="296">
        <f t="shared" si="0"/>
        <v>0</v>
      </c>
      <c r="G29" s="293"/>
    </row>
    <row r="30" spans="1:7" ht="12.75" customHeight="1">
      <c r="A30" s="297" t="s">
        <v>146</v>
      </c>
      <c r="B30" s="295">
        <v>40955</v>
      </c>
      <c r="C30" s="295">
        <v>0</v>
      </c>
      <c r="D30" s="295">
        <f t="shared" si="1"/>
        <v>0</v>
      </c>
      <c r="E30" s="295">
        <f t="shared" si="2"/>
        <v>40955</v>
      </c>
      <c r="F30" s="296">
        <f t="shared" si="0"/>
        <v>735</v>
      </c>
      <c r="G30" s="289"/>
    </row>
    <row r="31" spans="1:7" ht="12.75" customHeight="1" thickBot="1">
      <c r="A31" s="298" t="s">
        <v>147</v>
      </c>
      <c r="B31" s="299">
        <v>10289</v>
      </c>
      <c r="C31" s="299">
        <v>17929</v>
      </c>
      <c r="D31" s="299">
        <f t="shared" si="1"/>
        <v>7171.6</v>
      </c>
      <c r="E31" s="299">
        <f t="shared" si="2"/>
        <v>17460.6</v>
      </c>
      <c r="F31" s="296">
        <f t="shared" si="0"/>
        <v>313</v>
      </c>
      <c r="G31" s="289"/>
    </row>
    <row r="32" spans="1:7" ht="15" thickBot="1">
      <c r="A32" s="300" t="s">
        <v>106</v>
      </c>
      <c r="B32" s="301">
        <f>SUM(B6:B31)</f>
        <v>9243421</v>
      </c>
      <c r="C32" s="301">
        <f>SUM(C6:C31)</f>
        <v>1012153</v>
      </c>
      <c r="D32" s="301">
        <f>SUM(D6:D31)</f>
        <v>404861.20000000007</v>
      </c>
      <c r="E32" s="301">
        <f>SUM(E6:E31)</f>
        <v>9648282.2</v>
      </c>
      <c r="F32" s="582">
        <f>SUM(F6:F31)</f>
        <v>173187</v>
      </c>
      <c r="G32" s="289"/>
    </row>
    <row r="33" spans="1:7" ht="15" thickBot="1">
      <c r="A33" s="283"/>
      <c r="B33" s="283"/>
      <c r="C33" s="283"/>
      <c r="D33" s="283"/>
      <c r="E33" s="283"/>
      <c r="G33" s="289"/>
    </row>
    <row r="34" spans="1:7" ht="15" thickBot="1">
      <c r="A34" s="302" t="s">
        <v>148</v>
      </c>
      <c r="B34" s="303"/>
      <c r="C34" s="303"/>
      <c r="D34" s="303"/>
      <c r="E34" s="303"/>
      <c r="F34" s="583">
        <f>F35*E32/1000</f>
        <v>173186.66548999998</v>
      </c>
      <c r="G34" s="289"/>
    </row>
    <row r="35" spans="1:7" ht="15" thickBot="1">
      <c r="A35" s="302" t="s">
        <v>149</v>
      </c>
      <c r="B35" s="303"/>
      <c r="C35" s="303"/>
      <c r="D35" s="303"/>
      <c r="E35" s="303"/>
      <c r="F35" s="581">
        <v>17.95</v>
      </c>
      <c r="G35" s="289"/>
    </row>
    <row r="36" spans="1:7" ht="15" thickBot="1">
      <c r="A36" s="302" t="s">
        <v>150</v>
      </c>
      <c r="B36" s="303"/>
      <c r="C36" s="303"/>
      <c r="D36" s="303"/>
      <c r="E36" s="303"/>
      <c r="F36" s="304">
        <v>173184</v>
      </c>
      <c r="G36" s="289"/>
    </row>
    <row r="37" ht="14.25">
      <c r="G37" s="305"/>
    </row>
    <row r="38" ht="14.25">
      <c r="G38" s="289"/>
    </row>
    <row r="39" spans="1:7" ht="14.25">
      <c r="A39" s="289"/>
      <c r="B39" s="289"/>
      <c r="C39" s="289"/>
      <c r="D39" s="289"/>
      <c r="E39" s="289"/>
      <c r="F39" s="289"/>
      <c r="G39" s="289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I49"/>
  <sheetViews>
    <sheetView zoomScale="89" zoomScaleNormal="89" zoomScalePageLayoutView="0" workbookViewId="0" topLeftCell="A1">
      <selection activeCell="C3" sqref="C3"/>
    </sheetView>
  </sheetViews>
  <sheetFormatPr defaultColWidth="9.140625" defaultRowHeight="15"/>
  <cols>
    <col min="1" max="1" width="10.00390625" style="236" bestFit="1" customWidth="1"/>
    <col min="2" max="2" width="52.140625" style="236" customWidth="1"/>
    <col min="3" max="3" width="11.7109375" style="236" customWidth="1"/>
    <col min="4" max="4" width="12.7109375" style="236" customWidth="1"/>
    <col min="5" max="5" width="8.8515625" style="236" customWidth="1"/>
    <col min="6" max="6" width="9.140625" style="236" customWidth="1"/>
    <col min="7" max="7" width="55.00390625" style="236" customWidth="1"/>
    <col min="8" max="8" width="9.140625" style="736" customWidth="1"/>
    <col min="9" max="9" width="12.421875" style="736" customWidth="1"/>
    <col min="10" max="16384" width="9.140625" style="236" customWidth="1"/>
  </cols>
  <sheetData>
    <row r="1" spans="1:5" ht="18.75">
      <c r="A1" s="306" t="s">
        <v>449</v>
      </c>
      <c r="B1" s="237"/>
      <c r="C1" s="237"/>
      <c r="D1" s="237"/>
      <c r="E1" s="237"/>
    </row>
    <row r="2" spans="1:5" ht="9" customHeight="1">
      <c r="A2" s="237"/>
      <c r="B2" s="237"/>
      <c r="C2" s="237"/>
      <c r="D2" s="237"/>
      <c r="E2" s="237"/>
    </row>
    <row r="3" spans="1:9" s="237" customFormat="1" ht="13.5" thickBot="1">
      <c r="A3" s="237" t="s">
        <v>151</v>
      </c>
      <c r="C3" s="289"/>
      <c r="D3" s="289"/>
      <c r="H3" s="238"/>
      <c r="I3" s="238"/>
    </row>
    <row r="4" spans="6:9" s="237" customFormat="1" ht="27" thickBot="1">
      <c r="F4" s="307" t="s">
        <v>152</v>
      </c>
      <c r="G4" s="308" t="s">
        <v>77</v>
      </c>
      <c r="H4" s="241" t="s">
        <v>153</v>
      </c>
      <c r="I4" s="737" t="s">
        <v>79</v>
      </c>
    </row>
    <row r="5" spans="1:9" s="237" customFormat="1" ht="12.75" customHeight="1">
      <c r="A5" s="309" t="s">
        <v>154</v>
      </c>
      <c r="B5" s="310"/>
      <c r="C5" s="310"/>
      <c r="D5" s="311">
        <f>C43</f>
        <v>154665</v>
      </c>
      <c r="F5" s="732">
        <v>6100</v>
      </c>
      <c r="G5" s="733" t="s">
        <v>155</v>
      </c>
      <c r="H5" s="738">
        <v>829</v>
      </c>
      <c r="I5" s="739">
        <f aca="true" t="shared" si="0" ref="I5:I43">ROUND(H5*$D$8/$D$7,0)</f>
        <v>4477</v>
      </c>
    </row>
    <row r="6" spans="1:9" s="237" customFormat="1" ht="12.75" customHeight="1">
      <c r="A6" s="312" t="s">
        <v>156</v>
      </c>
      <c r="B6" s="313"/>
      <c r="C6" s="313"/>
      <c r="D6" s="314">
        <v>10616</v>
      </c>
      <c r="F6" s="734">
        <v>6200</v>
      </c>
      <c r="G6" s="274" t="s">
        <v>157</v>
      </c>
      <c r="H6" s="275">
        <v>100</v>
      </c>
      <c r="I6" s="276">
        <f t="shared" si="0"/>
        <v>540</v>
      </c>
    </row>
    <row r="7" spans="1:9" s="237" customFormat="1" ht="12.75" customHeight="1" thickBot="1">
      <c r="A7" s="315" t="s">
        <v>158</v>
      </c>
      <c r="B7" s="316"/>
      <c r="C7" s="316"/>
      <c r="D7" s="317">
        <f>SUM(D5:D6)</f>
        <v>165281</v>
      </c>
      <c r="F7" s="734">
        <v>6300</v>
      </c>
      <c r="G7" s="274" t="s">
        <v>159</v>
      </c>
      <c r="H7" s="275">
        <v>715</v>
      </c>
      <c r="I7" s="276">
        <f t="shared" si="0"/>
        <v>3861</v>
      </c>
    </row>
    <row r="8" spans="1:9" s="237" customFormat="1" ht="12.75" customHeight="1" thickBot="1">
      <c r="A8" s="318" t="s">
        <v>160</v>
      </c>
      <c r="B8" s="319"/>
      <c r="C8" s="319"/>
      <c r="D8" s="320">
        <v>892592</v>
      </c>
      <c r="E8" s="735"/>
      <c r="F8" s="734">
        <v>6400</v>
      </c>
      <c r="G8" s="274" t="s">
        <v>161</v>
      </c>
      <c r="H8" s="275">
        <v>1040</v>
      </c>
      <c r="I8" s="276">
        <f t="shared" si="0"/>
        <v>5616</v>
      </c>
    </row>
    <row r="9" spans="1:9" s="237" customFormat="1" ht="12.75" customHeight="1">
      <c r="A9" s="321" t="s">
        <v>162</v>
      </c>
      <c r="B9" s="322"/>
      <c r="C9" s="322"/>
      <c r="D9" s="323">
        <f>1000*D8/D7</f>
        <v>5400.451352545059</v>
      </c>
      <c r="E9" s="324"/>
      <c r="F9" s="734">
        <v>6500</v>
      </c>
      <c r="G9" s="274" t="s">
        <v>163</v>
      </c>
      <c r="H9" s="275">
        <v>128</v>
      </c>
      <c r="I9" s="276">
        <f t="shared" si="0"/>
        <v>691</v>
      </c>
    </row>
    <row r="10" spans="1:9" s="237" customFormat="1" ht="12.75" customHeight="1">
      <c r="A10" s="312" t="s">
        <v>164</v>
      </c>
      <c r="B10" s="313"/>
      <c r="C10" s="313"/>
      <c r="D10" s="276">
        <f>D43</f>
        <v>835259</v>
      </c>
      <c r="F10" s="734">
        <v>6600</v>
      </c>
      <c r="G10" s="274" t="s">
        <v>165</v>
      </c>
      <c r="H10" s="275">
        <v>479</v>
      </c>
      <c r="I10" s="276">
        <f t="shared" si="0"/>
        <v>2587</v>
      </c>
    </row>
    <row r="11" spans="1:9" s="237" customFormat="1" ht="12.75" customHeight="1">
      <c r="A11" s="312" t="s">
        <v>166</v>
      </c>
      <c r="B11" s="313"/>
      <c r="C11" s="313"/>
      <c r="D11" s="276">
        <f>I44</f>
        <v>57333</v>
      </c>
      <c r="F11" s="734">
        <v>6700</v>
      </c>
      <c r="G11" s="274" t="s">
        <v>167</v>
      </c>
      <c r="H11" s="275">
        <v>69</v>
      </c>
      <c r="I11" s="276">
        <f t="shared" si="0"/>
        <v>373</v>
      </c>
    </row>
    <row r="12" spans="1:9" s="237" customFormat="1" ht="13.5" thickBot="1">
      <c r="A12" s="325" t="s">
        <v>106</v>
      </c>
      <c r="B12" s="326"/>
      <c r="C12" s="326"/>
      <c r="D12" s="327">
        <f>SUM(D10:D11)</f>
        <v>892592</v>
      </c>
      <c r="E12" s="324"/>
      <c r="F12" s="734">
        <v>6800</v>
      </c>
      <c r="G12" s="274" t="s">
        <v>168</v>
      </c>
      <c r="H12" s="275">
        <v>129</v>
      </c>
      <c r="I12" s="276">
        <f t="shared" si="0"/>
        <v>697</v>
      </c>
    </row>
    <row r="13" spans="1:9" s="237" customFormat="1" ht="12.75">
      <c r="A13" s="328"/>
      <c r="B13" s="328"/>
      <c r="C13" s="328"/>
      <c r="D13" s="329"/>
      <c r="F13" s="734" t="s">
        <v>169</v>
      </c>
      <c r="G13" s="274" t="s">
        <v>170</v>
      </c>
      <c r="H13" s="275">
        <v>450</v>
      </c>
      <c r="I13" s="276">
        <f t="shared" si="0"/>
        <v>2430</v>
      </c>
    </row>
    <row r="14" spans="1:9" s="237" customFormat="1" ht="12.75">
      <c r="A14" s="343" t="s">
        <v>171</v>
      </c>
      <c r="B14" s="328"/>
      <c r="C14" s="328"/>
      <c r="D14" s="330"/>
      <c r="F14" s="734" t="s">
        <v>172</v>
      </c>
      <c r="G14" s="274" t="s">
        <v>173</v>
      </c>
      <c r="H14" s="275">
        <v>454</v>
      </c>
      <c r="I14" s="276">
        <f t="shared" si="0"/>
        <v>2452</v>
      </c>
    </row>
    <row r="15" spans="6:9" s="237" customFormat="1" ht="14.25" customHeight="1" thickBot="1">
      <c r="F15" s="734" t="s">
        <v>174</v>
      </c>
      <c r="G15" s="274" t="s">
        <v>175</v>
      </c>
      <c r="H15" s="275">
        <v>114</v>
      </c>
      <c r="I15" s="276">
        <f t="shared" si="0"/>
        <v>616</v>
      </c>
    </row>
    <row r="16" spans="1:9" s="237" customFormat="1" ht="27" thickBot="1">
      <c r="A16" s="331" t="s">
        <v>152</v>
      </c>
      <c r="B16" s="263" t="s">
        <v>77</v>
      </c>
      <c r="C16" s="263" t="s">
        <v>153</v>
      </c>
      <c r="D16" s="264" t="s">
        <v>79</v>
      </c>
      <c r="F16" s="734" t="s">
        <v>176</v>
      </c>
      <c r="G16" s="274" t="s">
        <v>177</v>
      </c>
      <c r="H16" s="275">
        <v>351</v>
      </c>
      <c r="I16" s="276">
        <f t="shared" si="0"/>
        <v>1896</v>
      </c>
    </row>
    <row r="17" spans="1:9" s="237" customFormat="1" ht="12.75" customHeight="1" thickBot="1">
      <c r="A17" s="332">
        <v>11000</v>
      </c>
      <c r="B17" s="333" t="s">
        <v>80</v>
      </c>
      <c r="C17" s="334">
        <v>19411</v>
      </c>
      <c r="D17" s="311">
        <f aca="true" t="shared" si="1" ref="D17:D42">ROUND(C17*$D$8/$D$7,0)</f>
        <v>104828</v>
      </c>
      <c r="F17" s="734" t="s">
        <v>178</v>
      </c>
      <c r="G17" s="274" t="s">
        <v>179</v>
      </c>
      <c r="H17" s="275">
        <v>4</v>
      </c>
      <c r="I17" s="276">
        <f t="shared" si="0"/>
        <v>22</v>
      </c>
    </row>
    <row r="18" spans="1:9" s="237" customFormat="1" ht="12.75" customHeight="1">
      <c r="A18" s="335">
        <v>12000</v>
      </c>
      <c r="B18" s="245" t="s">
        <v>81</v>
      </c>
      <c r="C18" s="336">
        <v>5301</v>
      </c>
      <c r="D18" s="337">
        <f t="shared" si="1"/>
        <v>28628</v>
      </c>
      <c r="F18" s="734" t="s">
        <v>180</v>
      </c>
      <c r="G18" s="274" t="s">
        <v>181</v>
      </c>
      <c r="H18" s="275">
        <v>19</v>
      </c>
      <c r="I18" s="276">
        <f t="shared" si="0"/>
        <v>103</v>
      </c>
    </row>
    <row r="19" spans="1:9" s="237" customFormat="1" ht="12.75" customHeight="1">
      <c r="A19" s="335">
        <v>13000</v>
      </c>
      <c r="B19" s="245" t="s">
        <v>82</v>
      </c>
      <c r="C19" s="336">
        <v>4231</v>
      </c>
      <c r="D19" s="338">
        <f t="shared" si="1"/>
        <v>22849</v>
      </c>
      <c r="F19" s="734" t="s">
        <v>182</v>
      </c>
      <c r="G19" s="274" t="s">
        <v>183</v>
      </c>
      <c r="H19" s="275">
        <v>39</v>
      </c>
      <c r="I19" s="276">
        <f t="shared" si="0"/>
        <v>211</v>
      </c>
    </row>
    <row r="20" spans="1:9" s="237" customFormat="1" ht="12.75" customHeight="1">
      <c r="A20" s="335">
        <v>14000</v>
      </c>
      <c r="B20" s="245" t="s">
        <v>83</v>
      </c>
      <c r="C20" s="336">
        <v>18632</v>
      </c>
      <c r="D20" s="338">
        <f t="shared" si="1"/>
        <v>100621</v>
      </c>
      <c r="F20" s="734" t="s">
        <v>184</v>
      </c>
      <c r="G20" s="274" t="s">
        <v>185</v>
      </c>
      <c r="H20" s="275">
        <v>25</v>
      </c>
      <c r="I20" s="276">
        <f t="shared" si="0"/>
        <v>135</v>
      </c>
    </row>
    <row r="21" spans="1:9" s="237" customFormat="1" ht="12.75" customHeight="1">
      <c r="A21" s="335">
        <v>15000</v>
      </c>
      <c r="B21" s="245" t="s">
        <v>84</v>
      </c>
      <c r="C21" s="336">
        <v>10252</v>
      </c>
      <c r="D21" s="338">
        <f t="shared" si="1"/>
        <v>55365</v>
      </c>
      <c r="F21" s="734" t="s">
        <v>186</v>
      </c>
      <c r="G21" s="274" t="s">
        <v>187</v>
      </c>
      <c r="H21" s="275">
        <v>10</v>
      </c>
      <c r="I21" s="276">
        <f t="shared" si="0"/>
        <v>54</v>
      </c>
    </row>
    <row r="22" spans="1:9" s="237" customFormat="1" ht="12.75" customHeight="1">
      <c r="A22" s="335">
        <v>16000</v>
      </c>
      <c r="B22" s="245" t="s">
        <v>85</v>
      </c>
      <c r="C22" s="336">
        <v>1918</v>
      </c>
      <c r="D22" s="338">
        <f t="shared" si="1"/>
        <v>10358</v>
      </c>
      <c r="F22" s="734" t="s">
        <v>188</v>
      </c>
      <c r="G22" s="274" t="s">
        <v>189</v>
      </c>
      <c r="H22" s="275">
        <v>153</v>
      </c>
      <c r="I22" s="276">
        <f t="shared" si="0"/>
        <v>826</v>
      </c>
    </row>
    <row r="23" spans="1:9" s="237" customFormat="1" ht="12.75" customHeight="1">
      <c r="A23" s="335">
        <v>17000</v>
      </c>
      <c r="B23" s="245" t="s">
        <v>86</v>
      </c>
      <c r="C23" s="336">
        <v>4060</v>
      </c>
      <c r="D23" s="338">
        <f t="shared" si="1"/>
        <v>21926</v>
      </c>
      <c r="F23" s="734" t="s">
        <v>190</v>
      </c>
      <c r="G23" s="274" t="s">
        <v>191</v>
      </c>
      <c r="H23" s="275">
        <v>63</v>
      </c>
      <c r="I23" s="276">
        <f t="shared" si="0"/>
        <v>340</v>
      </c>
    </row>
    <row r="24" spans="1:9" s="237" customFormat="1" ht="12.75" customHeight="1">
      <c r="A24" s="335">
        <v>18000</v>
      </c>
      <c r="B24" s="245" t="s">
        <v>87</v>
      </c>
      <c r="C24" s="336">
        <v>3607</v>
      </c>
      <c r="D24" s="338">
        <f t="shared" si="1"/>
        <v>19479</v>
      </c>
      <c r="F24" s="734" t="s">
        <v>192</v>
      </c>
      <c r="G24" s="274" t="s">
        <v>193</v>
      </c>
      <c r="H24" s="275">
        <v>154</v>
      </c>
      <c r="I24" s="276">
        <f t="shared" si="0"/>
        <v>832</v>
      </c>
    </row>
    <row r="25" spans="1:9" s="237" customFormat="1" ht="12.75" customHeight="1">
      <c r="A25" s="335">
        <v>19000</v>
      </c>
      <c r="B25" s="245" t="s">
        <v>88</v>
      </c>
      <c r="C25" s="336">
        <v>2526</v>
      </c>
      <c r="D25" s="338">
        <f t="shared" si="1"/>
        <v>13642</v>
      </c>
      <c r="F25" s="734" t="s">
        <v>194</v>
      </c>
      <c r="G25" s="274" t="s">
        <v>195</v>
      </c>
      <c r="H25" s="275">
        <v>126</v>
      </c>
      <c r="I25" s="276">
        <f t="shared" si="0"/>
        <v>680</v>
      </c>
    </row>
    <row r="26" spans="1:9" s="237" customFormat="1" ht="12.75" customHeight="1">
      <c r="A26" s="335">
        <v>21000</v>
      </c>
      <c r="B26" s="245" t="s">
        <v>89</v>
      </c>
      <c r="C26" s="336">
        <v>11890</v>
      </c>
      <c r="D26" s="338">
        <f t="shared" si="1"/>
        <v>64211</v>
      </c>
      <c r="F26" s="734" t="s">
        <v>196</v>
      </c>
      <c r="G26" s="274" t="s">
        <v>197</v>
      </c>
      <c r="H26" s="275">
        <v>272</v>
      </c>
      <c r="I26" s="276">
        <f t="shared" si="0"/>
        <v>1469</v>
      </c>
    </row>
    <row r="27" spans="1:9" s="237" customFormat="1" ht="12.75" customHeight="1">
      <c r="A27" s="335">
        <v>22000</v>
      </c>
      <c r="B27" s="245" t="s">
        <v>90</v>
      </c>
      <c r="C27" s="336">
        <v>2315</v>
      </c>
      <c r="D27" s="338">
        <f t="shared" si="1"/>
        <v>12502</v>
      </c>
      <c r="F27" s="734">
        <v>7100</v>
      </c>
      <c r="G27" s="274" t="s">
        <v>198</v>
      </c>
      <c r="H27" s="275">
        <v>49</v>
      </c>
      <c r="I27" s="276">
        <f t="shared" si="0"/>
        <v>265</v>
      </c>
    </row>
    <row r="28" spans="1:9" s="237" customFormat="1" ht="12.75" customHeight="1">
      <c r="A28" s="335">
        <v>23000</v>
      </c>
      <c r="B28" s="245" t="s">
        <v>91</v>
      </c>
      <c r="C28" s="336">
        <v>7542</v>
      </c>
      <c r="D28" s="338">
        <f t="shared" si="1"/>
        <v>40730</v>
      </c>
      <c r="F28" s="734">
        <v>7200</v>
      </c>
      <c r="G28" s="274" t="s">
        <v>199</v>
      </c>
      <c r="H28" s="275">
        <v>1258</v>
      </c>
      <c r="I28" s="276">
        <f t="shared" si="0"/>
        <v>6794</v>
      </c>
    </row>
    <row r="29" spans="1:9" s="237" customFormat="1" ht="12.75" customHeight="1">
      <c r="A29" s="335">
        <v>24000</v>
      </c>
      <c r="B29" s="245" t="s">
        <v>92</v>
      </c>
      <c r="C29" s="336">
        <v>3411</v>
      </c>
      <c r="D29" s="338">
        <f t="shared" si="1"/>
        <v>18421</v>
      </c>
      <c r="F29" s="734">
        <v>7300</v>
      </c>
      <c r="G29" s="274" t="s">
        <v>200</v>
      </c>
      <c r="H29" s="275">
        <v>266</v>
      </c>
      <c r="I29" s="276">
        <f t="shared" si="0"/>
        <v>1437</v>
      </c>
    </row>
    <row r="30" spans="1:9" s="237" customFormat="1" ht="12.75" customHeight="1">
      <c r="A30" s="335">
        <v>25000</v>
      </c>
      <c r="B30" s="245" t="s">
        <v>93</v>
      </c>
      <c r="C30" s="336">
        <v>5227</v>
      </c>
      <c r="D30" s="338">
        <f t="shared" si="1"/>
        <v>28228</v>
      </c>
      <c r="F30" s="734">
        <v>7500</v>
      </c>
      <c r="G30" s="274" t="s">
        <v>201</v>
      </c>
      <c r="H30" s="275">
        <v>955</v>
      </c>
      <c r="I30" s="276">
        <f t="shared" si="0"/>
        <v>5157</v>
      </c>
    </row>
    <row r="31" spans="1:9" s="237" customFormat="1" ht="12.75" customHeight="1">
      <c r="A31" s="335">
        <v>26000</v>
      </c>
      <c r="B31" s="245" t="s">
        <v>94</v>
      </c>
      <c r="C31" s="336">
        <v>14692</v>
      </c>
      <c r="D31" s="338">
        <f t="shared" si="1"/>
        <v>79343</v>
      </c>
      <c r="F31" s="734">
        <v>7600</v>
      </c>
      <c r="G31" s="274" t="s">
        <v>202</v>
      </c>
      <c r="H31" s="275">
        <v>1008</v>
      </c>
      <c r="I31" s="276">
        <f t="shared" si="0"/>
        <v>5444</v>
      </c>
    </row>
    <row r="32" spans="1:9" s="237" customFormat="1" ht="12.75" customHeight="1">
      <c r="A32" s="335">
        <v>27000</v>
      </c>
      <c r="B32" s="245" t="s">
        <v>95</v>
      </c>
      <c r="C32" s="336">
        <v>8899</v>
      </c>
      <c r="D32" s="338">
        <f t="shared" si="1"/>
        <v>48059</v>
      </c>
      <c r="F32" s="734">
        <v>7700</v>
      </c>
      <c r="G32" s="274" t="s">
        <v>203</v>
      </c>
      <c r="H32" s="275">
        <v>258</v>
      </c>
      <c r="I32" s="276">
        <f t="shared" si="0"/>
        <v>1393</v>
      </c>
    </row>
    <row r="33" spans="1:9" s="237" customFormat="1" ht="12.75" customHeight="1">
      <c r="A33" s="335">
        <v>28000</v>
      </c>
      <c r="B33" s="245" t="s">
        <v>96</v>
      </c>
      <c r="C33" s="336">
        <v>4076</v>
      </c>
      <c r="D33" s="338">
        <f t="shared" si="1"/>
        <v>22012</v>
      </c>
      <c r="F33" s="734">
        <v>7800</v>
      </c>
      <c r="G33" s="274" t="s">
        <v>204</v>
      </c>
      <c r="H33" s="275">
        <v>428</v>
      </c>
      <c r="I33" s="276">
        <f t="shared" si="0"/>
        <v>2311</v>
      </c>
    </row>
    <row r="34" spans="1:9" s="237" customFormat="1" ht="12.75" customHeight="1">
      <c r="A34" s="335">
        <v>31000</v>
      </c>
      <c r="B34" s="245" t="s">
        <v>97</v>
      </c>
      <c r="C34" s="336">
        <v>9083</v>
      </c>
      <c r="D34" s="338">
        <f t="shared" si="1"/>
        <v>49052</v>
      </c>
      <c r="F34" s="734">
        <v>7900</v>
      </c>
      <c r="G34" s="274" t="s">
        <v>205</v>
      </c>
      <c r="H34" s="275">
        <v>50</v>
      </c>
      <c r="I34" s="276">
        <f t="shared" si="0"/>
        <v>270</v>
      </c>
    </row>
    <row r="35" spans="1:9" s="237" customFormat="1" ht="12.75" customHeight="1">
      <c r="A35" s="335">
        <v>41000</v>
      </c>
      <c r="B35" s="245" t="s">
        <v>98</v>
      </c>
      <c r="C35" s="336">
        <v>8066</v>
      </c>
      <c r="D35" s="338">
        <f t="shared" si="1"/>
        <v>43560</v>
      </c>
      <c r="F35" s="734" t="s">
        <v>206</v>
      </c>
      <c r="G35" s="274" t="s">
        <v>207</v>
      </c>
      <c r="H35" s="275">
        <v>56</v>
      </c>
      <c r="I35" s="276">
        <f t="shared" si="0"/>
        <v>302</v>
      </c>
    </row>
    <row r="36" spans="1:9" s="237" customFormat="1" ht="12.75" customHeight="1">
      <c r="A36" s="335">
        <v>43000</v>
      </c>
      <c r="B36" s="245" t="s">
        <v>99</v>
      </c>
      <c r="C36" s="336">
        <v>6019</v>
      </c>
      <c r="D36" s="338">
        <f t="shared" si="1"/>
        <v>32505</v>
      </c>
      <c r="F36" s="734" t="s">
        <v>208</v>
      </c>
      <c r="G36" s="274" t="s">
        <v>209</v>
      </c>
      <c r="H36" s="275">
        <v>70</v>
      </c>
      <c r="I36" s="276">
        <f t="shared" si="0"/>
        <v>378</v>
      </c>
    </row>
    <row r="37" spans="1:9" s="237" customFormat="1" ht="12.75" customHeight="1">
      <c r="A37" s="335">
        <v>51000</v>
      </c>
      <c r="B37" s="245" t="s">
        <v>100</v>
      </c>
      <c r="C37" s="336">
        <v>511</v>
      </c>
      <c r="D37" s="338">
        <f t="shared" si="1"/>
        <v>2760</v>
      </c>
      <c r="F37" s="734" t="s">
        <v>210</v>
      </c>
      <c r="G37" s="274" t="s">
        <v>211</v>
      </c>
      <c r="H37" s="275">
        <v>120</v>
      </c>
      <c r="I37" s="276">
        <f t="shared" si="0"/>
        <v>648</v>
      </c>
    </row>
    <row r="38" spans="1:9" s="237" customFormat="1" ht="12.75" customHeight="1">
      <c r="A38" s="335">
        <v>52000</v>
      </c>
      <c r="B38" s="245" t="s">
        <v>101</v>
      </c>
      <c r="C38" s="336">
        <v>164</v>
      </c>
      <c r="D38" s="338">
        <f t="shared" si="1"/>
        <v>886</v>
      </c>
      <c r="F38" s="734" t="s">
        <v>212</v>
      </c>
      <c r="G38" s="274" t="s">
        <v>213</v>
      </c>
      <c r="H38" s="275">
        <v>117</v>
      </c>
      <c r="I38" s="276">
        <f t="shared" si="0"/>
        <v>632</v>
      </c>
    </row>
    <row r="39" spans="1:9" s="237" customFormat="1" ht="12.75" customHeight="1">
      <c r="A39" s="335">
        <v>53000</v>
      </c>
      <c r="B39" s="245" t="s">
        <v>102</v>
      </c>
      <c r="C39" s="336">
        <v>223</v>
      </c>
      <c r="D39" s="338">
        <f t="shared" si="1"/>
        <v>1204</v>
      </c>
      <c r="F39" s="734" t="s">
        <v>214</v>
      </c>
      <c r="G39" s="274" t="s">
        <v>215</v>
      </c>
      <c r="H39" s="275">
        <v>38</v>
      </c>
      <c r="I39" s="276">
        <f t="shared" si="0"/>
        <v>205</v>
      </c>
    </row>
    <row r="40" spans="1:9" s="237" customFormat="1" ht="12.75" customHeight="1">
      <c r="A40" s="335">
        <v>54000</v>
      </c>
      <c r="B40" s="245" t="s">
        <v>103</v>
      </c>
      <c r="C40" s="336">
        <v>401</v>
      </c>
      <c r="D40" s="338">
        <f t="shared" si="1"/>
        <v>2166</v>
      </c>
      <c r="F40" s="734" t="s">
        <v>216</v>
      </c>
      <c r="G40" s="274" t="s">
        <v>217</v>
      </c>
      <c r="H40" s="275">
        <v>180</v>
      </c>
      <c r="I40" s="276">
        <f t="shared" si="0"/>
        <v>972</v>
      </c>
    </row>
    <row r="41" spans="1:9" s="237" customFormat="1" ht="12.75" customHeight="1">
      <c r="A41" s="335">
        <v>55000</v>
      </c>
      <c r="B41" s="245" t="s">
        <v>104</v>
      </c>
      <c r="C41" s="336">
        <v>1114</v>
      </c>
      <c r="D41" s="338">
        <f t="shared" si="1"/>
        <v>6016</v>
      </c>
      <c r="F41" s="734" t="s">
        <v>218</v>
      </c>
      <c r="G41" s="274" t="s">
        <v>219</v>
      </c>
      <c r="H41" s="275">
        <v>19</v>
      </c>
      <c r="I41" s="276">
        <f t="shared" si="0"/>
        <v>103</v>
      </c>
    </row>
    <row r="42" spans="1:9" s="237" customFormat="1" ht="12.75" customHeight="1" thickBot="1">
      <c r="A42" s="339">
        <v>56000</v>
      </c>
      <c r="B42" s="340" t="s">
        <v>105</v>
      </c>
      <c r="C42" s="341">
        <v>1094</v>
      </c>
      <c r="D42" s="342">
        <f t="shared" si="1"/>
        <v>5908</v>
      </c>
      <c r="F42" s="734" t="s">
        <v>220</v>
      </c>
      <c r="G42" s="274" t="s">
        <v>221</v>
      </c>
      <c r="H42" s="275">
        <v>9</v>
      </c>
      <c r="I42" s="276">
        <f t="shared" si="0"/>
        <v>49</v>
      </c>
    </row>
    <row r="43" spans="1:9" s="237" customFormat="1" ht="13.5" thickBot="1">
      <c r="A43" s="254" t="s">
        <v>106</v>
      </c>
      <c r="B43" s="255"/>
      <c r="C43" s="256">
        <f>SUM(C17:C42)</f>
        <v>154665</v>
      </c>
      <c r="D43" s="257">
        <f>SUM(D17:D42)</f>
        <v>835259</v>
      </c>
      <c r="F43" s="734" t="s">
        <v>222</v>
      </c>
      <c r="G43" s="274" t="s">
        <v>223</v>
      </c>
      <c r="H43" s="275">
        <v>12</v>
      </c>
      <c r="I43" s="276">
        <f t="shared" si="0"/>
        <v>65</v>
      </c>
    </row>
    <row r="44" spans="3:9" s="237" customFormat="1" ht="13.5" thickBot="1">
      <c r="C44" s="238"/>
      <c r="D44" s="238"/>
      <c r="F44" s="254" t="s">
        <v>106</v>
      </c>
      <c r="G44" s="255"/>
      <c r="H44" s="256">
        <f>SUM(H5:H43)</f>
        <v>10616</v>
      </c>
      <c r="I44" s="257">
        <f>SUM(I5:I43)</f>
        <v>57333</v>
      </c>
    </row>
    <row r="45" spans="3:9" s="237" customFormat="1" ht="12.75">
      <c r="C45" s="238"/>
      <c r="D45" s="238"/>
      <c r="F45" s="343"/>
      <c r="G45" s="343"/>
      <c r="H45" s="344"/>
      <c r="I45" s="344"/>
    </row>
    <row r="46" spans="8:9" s="237" customFormat="1" ht="12.75">
      <c r="H46" s="238"/>
      <c r="I46" s="238"/>
    </row>
    <row r="47" spans="8:9" s="237" customFormat="1" ht="12.75">
      <c r="H47" s="238"/>
      <c r="I47" s="238"/>
    </row>
    <row r="48" spans="8:9" s="237" customFormat="1" ht="12.75">
      <c r="H48" s="238"/>
      <c r="I48" s="238"/>
    </row>
    <row r="49" spans="8:9" s="237" customFormat="1" ht="12.75">
      <c r="H49" s="238"/>
      <c r="I49" s="238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J41"/>
  <sheetViews>
    <sheetView zoomScale="80" zoomScaleNormal="80" zoomScalePageLayoutView="0" workbookViewId="0" topLeftCell="A1">
      <selection activeCell="N28" sqref="N28"/>
    </sheetView>
  </sheetViews>
  <sheetFormatPr defaultColWidth="9.140625" defaultRowHeight="15"/>
  <cols>
    <col min="1" max="1" width="2.8515625" style="0" customWidth="1"/>
    <col min="2" max="2" width="13.140625" style="0" customWidth="1"/>
    <col min="3" max="3" width="11.7109375" style="0" customWidth="1"/>
    <col min="4" max="4" width="10.8515625" style="0" bestFit="1" customWidth="1"/>
    <col min="5" max="5" width="11.00390625" style="0" customWidth="1"/>
    <col min="7" max="7" width="10.57421875" style="0" customWidth="1"/>
    <col min="9" max="9" width="3.00390625" style="0" customWidth="1"/>
  </cols>
  <sheetData>
    <row r="1" spans="1:10" ht="18.75">
      <c r="A1" s="742"/>
      <c r="B1" s="741" t="s">
        <v>451</v>
      </c>
      <c r="C1" s="742"/>
      <c r="D1" s="742"/>
      <c r="E1" s="742"/>
      <c r="F1" s="742"/>
      <c r="G1" s="742"/>
      <c r="H1" s="742"/>
      <c r="I1" s="742"/>
      <c r="J1" s="742"/>
    </row>
    <row r="2" spans="1:10" ht="14.25">
      <c r="A2" s="742"/>
      <c r="B2" s="742"/>
      <c r="C2" s="742"/>
      <c r="D2" s="742"/>
      <c r="E2" s="742"/>
      <c r="F2" s="742"/>
      <c r="G2" s="742"/>
      <c r="H2" s="742"/>
      <c r="I2" s="742"/>
      <c r="J2" s="742"/>
    </row>
    <row r="3" spans="1:10" ht="18" customHeight="1">
      <c r="A3" s="745"/>
      <c r="B3" s="1042" t="s">
        <v>442</v>
      </c>
      <c r="C3" s="1043"/>
      <c r="D3" s="1043"/>
      <c r="E3" s="1043"/>
      <c r="F3" s="1043"/>
      <c r="G3" s="1043"/>
      <c r="H3" s="1043"/>
      <c r="I3" s="742"/>
      <c r="J3" s="742"/>
    </row>
    <row r="4" spans="1:10" ht="12.75" customHeight="1">
      <c r="A4" s="742"/>
      <c r="B4" s="742"/>
      <c r="C4" s="743"/>
      <c r="D4" s="742"/>
      <c r="E4" s="742"/>
      <c r="F4" s="742"/>
      <c r="G4" s="742"/>
      <c r="H4" s="742"/>
      <c r="I4" s="742"/>
      <c r="J4" s="742"/>
    </row>
    <row r="5" spans="1:10" ht="12.75" customHeight="1">
      <c r="A5" s="742"/>
      <c r="B5" s="776" t="s">
        <v>375</v>
      </c>
      <c r="C5" s="777"/>
      <c r="D5" s="746">
        <f>1_Bilance!O16</f>
        <v>12325278</v>
      </c>
      <c r="E5" s="747" t="s">
        <v>79</v>
      </c>
      <c r="G5" s="744"/>
      <c r="H5" s="742"/>
      <c r="I5" s="742"/>
      <c r="J5" s="742"/>
    </row>
    <row r="6" spans="1:10" ht="12.75" customHeight="1">
      <c r="A6" s="742"/>
      <c r="B6" s="778" t="s">
        <v>376</v>
      </c>
      <c r="C6" s="779"/>
      <c r="D6" s="746">
        <f>1_Bilance!O18</f>
        <v>3578306</v>
      </c>
      <c r="E6" s="747" t="s">
        <v>79</v>
      </c>
      <c r="G6" s="742"/>
      <c r="H6" s="742"/>
      <c r="I6" s="742"/>
      <c r="J6" s="742"/>
    </row>
    <row r="7" spans="1:10" ht="12.75" customHeight="1">
      <c r="A7" s="742"/>
      <c r="B7" s="780" t="s">
        <v>106</v>
      </c>
      <c r="C7" s="781"/>
      <c r="D7" s="746">
        <f>SUM(D5:D6)</f>
        <v>15903584</v>
      </c>
      <c r="E7" s="747" t="s">
        <v>79</v>
      </c>
      <c r="G7" s="742"/>
      <c r="H7" s="742"/>
      <c r="I7" s="742"/>
      <c r="J7" s="742"/>
    </row>
    <row r="8" spans="1:10" ht="12.75" customHeight="1">
      <c r="A8" s="742"/>
      <c r="B8" s="742"/>
      <c r="C8" s="742"/>
      <c r="D8" s="742"/>
      <c r="E8" s="742"/>
      <c r="F8" s="742"/>
      <c r="G8" s="742"/>
      <c r="H8" s="742"/>
      <c r="I8" s="742"/>
      <c r="J8" s="742"/>
    </row>
    <row r="9" spans="1:10" ht="12.75" customHeight="1" thickBot="1">
      <c r="A9" s="742"/>
      <c r="B9" s="742"/>
      <c r="C9" s="742"/>
      <c r="D9" s="742"/>
      <c r="E9" s="742"/>
      <c r="F9" s="742"/>
      <c r="G9" s="742"/>
      <c r="H9" s="742"/>
      <c r="I9" s="742"/>
      <c r="J9" s="742"/>
    </row>
    <row r="10" spans="1:10" ht="12.75" customHeight="1">
      <c r="A10" s="748"/>
      <c r="B10" s="1040" t="s">
        <v>369</v>
      </c>
      <c r="C10" s="1038" t="s">
        <v>370</v>
      </c>
      <c r="D10" s="1032" t="s">
        <v>371</v>
      </c>
      <c r="E10" s="1030" t="s">
        <v>372</v>
      </c>
      <c r="F10" s="1032" t="s">
        <v>373</v>
      </c>
      <c r="G10" s="1034" t="s">
        <v>106</v>
      </c>
      <c r="H10" s="1036" t="s">
        <v>374</v>
      </c>
      <c r="I10" s="748"/>
      <c r="J10" s="748"/>
    </row>
    <row r="11" spans="1:10" ht="12.75" customHeight="1" thickBot="1">
      <c r="A11" s="749"/>
      <c r="B11" s="1041"/>
      <c r="C11" s="1039"/>
      <c r="D11" s="1033"/>
      <c r="E11" s="1031"/>
      <c r="F11" s="1033"/>
      <c r="G11" s="1035"/>
      <c r="H11" s="1037"/>
      <c r="I11" s="749"/>
      <c r="J11" s="749"/>
    </row>
    <row r="12" spans="1:10" ht="12.75" customHeight="1">
      <c r="A12" s="742"/>
      <c r="B12" s="750" t="s">
        <v>355</v>
      </c>
      <c r="C12" s="751">
        <f>'3_A '!L18</f>
        <v>1825491</v>
      </c>
      <c r="D12" s="752">
        <f aca="true" t="shared" si="0" ref="D12:D37">C12/C$38</f>
        <v>0.14810951931469618</v>
      </c>
      <c r="E12" s="753">
        <f>4_K!BG8</f>
        <v>794835.1358148758</v>
      </c>
      <c r="F12" s="752">
        <f aca="true" t="shared" si="1" ref="F12:F37">E12/E$38</f>
        <v>0.22212609425098795</v>
      </c>
      <c r="G12" s="755">
        <f>C12+E12</f>
        <v>2620326.135814876</v>
      </c>
      <c r="H12" s="754">
        <f>G12/G$38</f>
        <v>0.16476324681372928</v>
      </c>
      <c r="I12" s="756"/>
      <c r="J12" s="742"/>
    </row>
    <row r="13" spans="1:10" ht="12.75" customHeight="1">
      <c r="A13" s="742"/>
      <c r="B13" s="757" t="s">
        <v>123</v>
      </c>
      <c r="C13" s="758">
        <f>'3_A '!L24</f>
        <v>426216</v>
      </c>
      <c r="D13" s="759">
        <f t="shared" si="0"/>
        <v>0.034580639884958374</v>
      </c>
      <c r="E13" s="760">
        <f>4_K!BG9</f>
        <v>110673.70565873905</v>
      </c>
      <c r="F13" s="759">
        <f t="shared" si="1"/>
        <v>0.030929078077374893</v>
      </c>
      <c r="G13" s="762">
        <f aca="true" t="shared" si="2" ref="G13:G38">C13+E13</f>
        <v>536889.7056587391</v>
      </c>
      <c r="H13" s="761">
        <f aca="true" t="shared" si="3" ref="H13:H37">G13/G$38</f>
        <v>0.03375903857009458</v>
      </c>
      <c r="I13" s="763"/>
      <c r="J13" s="742"/>
    </row>
    <row r="14" spans="1:10" ht="12.75" customHeight="1">
      <c r="A14" s="742"/>
      <c r="B14" s="757" t="s">
        <v>356</v>
      </c>
      <c r="C14" s="758">
        <f>'3_A '!L30</f>
        <v>351387</v>
      </c>
      <c r="D14" s="759">
        <f t="shared" si="0"/>
        <v>0.028509458366780854</v>
      </c>
      <c r="E14" s="760">
        <f>4_K!BG10</f>
        <v>65623.55824577915</v>
      </c>
      <c r="F14" s="759">
        <f t="shared" si="1"/>
        <v>0.01833928072271604</v>
      </c>
      <c r="G14" s="762">
        <f t="shared" si="2"/>
        <v>417010.55824577913</v>
      </c>
      <c r="H14" s="761">
        <f t="shared" si="3"/>
        <v>0.02622116865266214</v>
      </c>
      <c r="I14" s="763"/>
      <c r="J14" s="742"/>
    </row>
    <row r="15" spans="1:10" ht="12.75" customHeight="1">
      <c r="A15" s="742"/>
      <c r="B15" s="757" t="s">
        <v>125</v>
      </c>
      <c r="C15" s="758">
        <f>'3_A '!L36</f>
        <v>1358181</v>
      </c>
      <c r="D15" s="759">
        <f t="shared" si="0"/>
        <v>0.11019475585053741</v>
      </c>
      <c r="E15" s="760">
        <f>4_K!BG11</f>
        <v>432214.49006799026</v>
      </c>
      <c r="F15" s="759">
        <f t="shared" si="1"/>
        <v>0.1207874592245577</v>
      </c>
      <c r="G15" s="762">
        <f t="shared" si="2"/>
        <v>1790395.4900679903</v>
      </c>
      <c r="H15" s="761">
        <f t="shared" si="3"/>
        <v>0.11257811384326893</v>
      </c>
      <c r="I15" s="763"/>
      <c r="J15" s="742"/>
    </row>
    <row r="16" spans="1:10" ht="12.75" customHeight="1">
      <c r="A16" s="742"/>
      <c r="B16" s="757" t="s">
        <v>357</v>
      </c>
      <c r="C16" s="758">
        <f>'3_A '!L42</f>
        <v>767182</v>
      </c>
      <c r="D16" s="759">
        <f t="shared" si="0"/>
        <v>0.062244600081231435</v>
      </c>
      <c r="E16" s="760">
        <f>4_K!BG12</f>
        <v>225810.42343321955</v>
      </c>
      <c r="F16" s="759">
        <f t="shared" si="1"/>
        <v>0.06310539775894503</v>
      </c>
      <c r="G16" s="762">
        <f t="shared" si="2"/>
        <v>992992.4234332195</v>
      </c>
      <c r="H16" s="761">
        <f t="shared" si="3"/>
        <v>0.062438279537066585</v>
      </c>
      <c r="I16" s="763"/>
      <c r="J16" s="742"/>
    </row>
    <row r="17" spans="1:10" ht="12.75" customHeight="1">
      <c r="A17" s="742"/>
      <c r="B17" s="757" t="s">
        <v>265</v>
      </c>
      <c r="C17" s="758">
        <f>'3_A '!L48</f>
        <v>203745</v>
      </c>
      <c r="D17" s="759">
        <f t="shared" si="0"/>
        <v>0.016530661620776425</v>
      </c>
      <c r="E17" s="760">
        <f>4_K!BG13</f>
        <v>48117.33315034397</v>
      </c>
      <c r="F17" s="759">
        <f t="shared" si="1"/>
        <v>0.01344695874258489</v>
      </c>
      <c r="G17" s="762">
        <f t="shared" si="2"/>
        <v>251862.33315034397</v>
      </c>
      <c r="H17" s="761">
        <f t="shared" si="3"/>
        <v>0.015836828550743278</v>
      </c>
      <c r="I17" s="763"/>
      <c r="J17" s="742"/>
    </row>
    <row r="18" spans="1:10" ht="12.75" customHeight="1">
      <c r="A18" s="742"/>
      <c r="B18" s="757" t="s">
        <v>128</v>
      </c>
      <c r="C18" s="758">
        <f>'3_A '!L54</f>
        <v>338962</v>
      </c>
      <c r="D18" s="759">
        <f t="shared" si="0"/>
        <v>0.02750136751479358</v>
      </c>
      <c r="E18" s="760">
        <f>4_K!BG14</f>
        <v>81662.60694347385</v>
      </c>
      <c r="F18" s="759">
        <f t="shared" si="1"/>
        <v>0.02282158287845529</v>
      </c>
      <c r="G18" s="762">
        <f t="shared" si="2"/>
        <v>420624.60694347386</v>
      </c>
      <c r="H18" s="761">
        <f t="shared" si="3"/>
        <v>0.026448416089321365</v>
      </c>
      <c r="I18" s="763"/>
      <c r="J18" s="742"/>
    </row>
    <row r="19" spans="1:10" ht="12.75" customHeight="1">
      <c r="A19" s="742"/>
      <c r="B19" s="757" t="s">
        <v>129</v>
      </c>
      <c r="C19" s="758">
        <f>'3_A '!L60</f>
        <v>244906</v>
      </c>
      <c r="D19" s="759">
        <f t="shared" si="0"/>
        <v>0.019870221182840663</v>
      </c>
      <c r="E19" s="760">
        <f>4_K!BG15</f>
        <v>49948.324724127946</v>
      </c>
      <c r="F19" s="759">
        <f t="shared" si="1"/>
        <v>0.013958651027644908</v>
      </c>
      <c r="G19" s="762">
        <f t="shared" si="2"/>
        <v>294854.32472412795</v>
      </c>
      <c r="H19" s="761">
        <f t="shared" si="3"/>
        <v>0.018540118046606848</v>
      </c>
      <c r="I19" s="763"/>
      <c r="J19" s="742"/>
    </row>
    <row r="20" spans="1:10" ht="12.75" customHeight="1">
      <c r="A20" s="742"/>
      <c r="B20" s="757" t="s">
        <v>130</v>
      </c>
      <c r="C20" s="758">
        <f>'3_A '!L66</f>
        <v>227101</v>
      </c>
      <c r="D20" s="759">
        <f t="shared" si="0"/>
        <v>0.018425629020294716</v>
      </c>
      <c r="E20" s="760">
        <f>4_K!BG16</f>
        <v>44722.646221895375</v>
      </c>
      <c r="F20" s="759">
        <f t="shared" si="1"/>
        <v>0.012498273267265396</v>
      </c>
      <c r="G20" s="762">
        <f t="shared" si="2"/>
        <v>271823.64622189535</v>
      </c>
      <c r="H20" s="761">
        <f t="shared" si="3"/>
        <v>0.01709197412494538</v>
      </c>
      <c r="I20" s="763"/>
      <c r="J20" s="742"/>
    </row>
    <row r="21" spans="1:10" ht="12.75" customHeight="1">
      <c r="A21" s="742"/>
      <c r="B21" s="757" t="s">
        <v>131</v>
      </c>
      <c r="C21" s="758">
        <f>'3_A '!L72</f>
        <v>971086</v>
      </c>
      <c r="D21" s="759">
        <f t="shared" si="0"/>
        <v>0.07878816201955038</v>
      </c>
      <c r="E21" s="760">
        <f>4_K!BG17</f>
        <v>328064.82572938496</v>
      </c>
      <c r="F21" s="759">
        <f t="shared" si="1"/>
        <v>0.09168160177731723</v>
      </c>
      <c r="G21" s="762">
        <f t="shared" si="2"/>
        <v>1299150.825729385</v>
      </c>
      <c r="H21" s="761">
        <f t="shared" si="3"/>
        <v>0.08168918564075776</v>
      </c>
      <c r="I21" s="763"/>
      <c r="J21" s="742"/>
    </row>
    <row r="22" spans="1:10" ht="12.75" customHeight="1">
      <c r="A22" s="742"/>
      <c r="B22" s="757" t="s">
        <v>270</v>
      </c>
      <c r="C22" s="758">
        <f>'3_A '!L78</f>
        <v>231218</v>
      </c>
      <c r="D22" s="759">
        <f t="shared" si="0"/>
        <v>0.018759657997166473</v>
      </c>
      <c r="E22" s="760">
        <f>4_K!BG18</f>
        <v>89690.11331544655</v>
      </c>
      <c r="F22" s="759">
        <f t="shared" si="1"/>
        <v>0.025064964627241643</v>
      </c>
      <c r="G22" s="762">
        <f t="shared" si="2"/>
        <v>320908.11331544654</v>
      </c>
      <c r="H22" s="761">
        <f t="shared" si="3"/>
        <v>0.020178351830345068</v>
      </c>
      <c r="I22" s="763"/>
      <c r="J22" s="742"/>
    </row>
    <row r="23" spans="1:10" ht="12.75" customHeight="1">
      <c r="A23" s="742"/>
      <c r="B23" s="757" t="s">
        <v>358</v>
      </c>
      <c r="C23" s="758">
        <f>'3_A '!L84</f>
        <v>498266</v>
      </c>
      <c r="D23" s="759">
        <f t="shared" si="0"/>
        <v>0.04042634981539565</v>
      </c>
      <c r="E23" s="760">
        <f>4_K!BG19</f>
        <v>140410.59747799186</v>
      </c>
      <c r="F23" s="759">
        <f t="shared" si="1"/>
        <v>0.039239404756885476</v>
      </c>
      <c r="G23" s="762">
        <f t="shared" si="2"/>
        <v>638676.5974779918</v>
      </c>
      <c r="H23" s="761">
        <f t="shared" si="3"/>
        <v>0.04015928720708438</v>
      </c>
      <c r="I23" s="763"/>
      <c r="J23" s="742"/>
    </row>
    <row r="24" spans="1:10" ht="12.75" customHeight="1">
      <c r="A24" s="742"/>
      <c r="B24" s="757" t="s">
        <v>134</v>
      </c>
      <c r="C24" s="758">
        <f>'3_A '!L90</f>
        <v>290919</v>
      </c>
      <c r="D24" s="759">
        <f t="shared" si="0"/>
        <v>0.023603443265133653</v>
      </c>
      <c r="E24" s="760">
        <f>4_K!BG20</f>
        <v>72727.00638470479</v>
      </c>
      <c r="F24" s="759">
        <f t="shared" si="1"/>
        <v>0.02032442345196436</v>
      </c>
      <c r="G24" s="762">
        <f t="shared" si="2"/>
        <v>363646.0063847048</v>
      </c>
      <c r="H24" s="761">
        <f t="shared" si="3"/>
        <v>0.022865663889643038</v>
      </c>
      <c r="I24" s="763"/>
      <c r="J24" s="742"/>
    </row>
    <row r="25" spans="1:10" ht="12.75" customHeight="1">
      <c r="A25" s="742"/>
      <c r="B25" s="757" t="s">
        <v>359</v>
      </c>
      <c r="C25" s="758">
        <f>'3_A '!L96</f>
        <v>377965</v>
      </c>
      <c r="D25" s="759">
        <f t="shared" si="0"/>
        <v>0.030665839748198784</v>
      </c>
      <c r="E25" s="760">
        <f>4_K!BG21</f>
        <v>87931.96526875248</v>
      </c>
      <c r="F25" s="759">
        <f t="shared" si="1"/>
        <v>0.024573629328724953</v>
      </c>
      <c r="G25" s="762">
        <f t="shared" si="2"/>
        <v>465896.9652687525</v>
      </c>
      <c r="H25" s="761">
        <f t="shared" si="3"/>
        <v>0.029295092557045786</v>
      </c>
      <c r="I25" s="763"/>
      <c r="J25" s="742"/>
    </row>
    <row r="26" spans="1:10" ht="12.75" customHeight="1">
      <c r="A26" s="742"/>
      <c r="B26" s="757" t="s">
        <v>360</v>
      </c>
      <c r="C26" s="758">
        <f>'3_A '!L102</f>
        <v>841043</v>
      </c>
      <c r="D26" s="759">
        <f t="shared" si="0"/>
        <v>0.06823724381713743</v>
      </c>
      <c r="E26" s="760">
        <f>4_K!BG22</f>
        <v>254706.18374211315</v>
      </c>
      <c r="F26" s="759">
        <f t="shared" si="1"/>
        <v>0.0711806602739154</v>
      </c>
      <c r="G26" s="762">
        <f t="shared" si="2"/>
        <v>1095749.1837421132</v>
      </c>
      <c r="H26" s="761">
        <f t="shared" si="3"/>
        <v>0.06889951244588095</v>
      </c>
      <c r="I26" s="763"/>
      <c r="J26" s="742"/>
    </row>
    <row r="27" spans="1:10" ht="12.75" customHeight="1">
      <c r="A27" s="742"/>
      <c r="B27" s="757" t="s">
        <v>361</v>
      </c>
      <c r="C27" s="758">
        <f>'3_A '!L108</f>
        <v>706004</v>
      </c>
      <c r="D27" s="759">
        <f t="shared" si="0"/>
        <v>0.057280979788042106</v>
      </c>
      <c r="E27" s="760">
        <f>4_K!BG23</f>
        <v>144463.75398249296</v>
      </c>
      <c r="F27" s="759">
        <f t="shared" si="1"/>
        <v>0.04037210735540586</v>
      </c>
      <c r="G27" s="762">
        <f t="shared" si="2"/>
        <v>850467.753982493</v>
      </c>
      <c r="H27" s="761">
        <f t="shared" si="3"/>
        <v>0.05347648391598352</v>
      </c>
      <c r="I27" s="763"/>
      <c r="J27" s="742"/>
    </row>
    <row r="28" spans="1:10" ht="12.75" customHeight="1">
      <c r="A28" s="742"/>
      <c r="B28" s="757" t="s">
        <v>362</v>
      </c>
      <c r="C28" s="758">
        <f>'3_A '!L114</f>
        <v>464518</v>
      </c>
      <c r="D28" s="759">
        <f t="shared" si="0"/>
        <v>0.0376882371334748</v>
      </c>
      <c r="E28" s="760">
        <f>4_K!BG24</f>
        <v>87366.8189069704</v>
      </c>
      <c r="F28" s="759">
        <f t="shared" si="1"/>
        <v>0.02441569248325056</v>
      </c>
      <c r="G28" s="762">
        <f t="shared" si="2"/>
        <v>551884.8189069704</v>
      </c>
      <c r="H28" s="761">
        <f t="shared" si="3"/>
        <v>0.034701914920999596</v>
      </c>
      <c r="I28" s="763"/>
      <c r="J28" s="742"/>
    </row>
    <row r="29" spans="1:10" ht="12.75" customHeight="1">
      <c r="A29" s="742"/>
      <c r="B29" s="757" t="s">
        <v>139</v>
      </c>
      <c r="C29" s="758">
        <f>'3_A '!L120</f>
        <v>455940</v>
      </c>
      <c r="D29" s="759">
        <f t="shared" si="0"/>
        <v>0.036992269058758756</v>
      </c>
      <c r="E29" s="760">
        <f>4_K!BG25</f>
        <v>122635.5352767901</v>
      </c>
      <c r="F29" s="759">
        <f t="shared" si="1"/>
        <v>0.034271953062927005</v>
      </c>
      <c r="G29" s="762">
        <f t="shared" si="2"/>
        <v>578575.5352767901</v>
      </c>
      <c r="H29" s="761">
        <f t="shared" si="3"/>
        <v>0.03638019802811682</v>
      </c>
      <c r="I29" s="763"/>
      <c r="J29" s="742"/>
    </row>
    <row r="30" spans="1:10" ht="12.75" customHeight="1">
      <c r="A30" s="742"/>
      <c r="B30" s="757" t="s">
        <v>363</v>
      </c>
      <c r="C30" s="758">
        <f>'3_A '!L126</f>
        <v>712334</v>
      </c>
      <c r="D30" s="759">
        <f t="shared" si="0"/>
        <v>0.0577945584675656</v>
      </c>
      <c r="E30" s="760">
        <f>4_K!BG26</f>
        <v>151522.09930001327</v>
      </c>
      <c r="F30" s="759">
        <f t="shared" si="1"/>
        <v>0.042344645566928386</v>
      </c>
      <c r="G30" s="762">
        <f t="shared" si="2"/>
        <v>863856.0993000133</v>
      </c>
      <c r="H30" s="761">
        <f t="shared" si="3"/>
        <v>0.05431832845351169</v>
      </c>
      <c r="I30" s="763"/>
      <c r="J30" s="742"/>
    </row>
    <row r="31" spans="1:10" ht="12.75" customHeight="1">
      <c r="A31" s="742"/>
      <c r="B31" s="757" t="s">
        <v>141</v>
      </c>
      <c r="C31" s="758">
        <f>'3_A '!L132</f>
        <v>417871</v>
      </c>
      <c r="D31" s="759">
        <f t="shared" si="0"/>
        <v>0.033903576049156864</v>
      </c>
      <c r="E31" s="760">
        <f>4_K!BG27</f>
        <v>105266.72122866224</v>
      </c>
      <c r="F31" s="759">
        <f t="shared" si="1"/>
        <v>0.029418032227725138</v>
      </c>
      <c r="G31" s="762">
        <f t="shared" si="2"/>
        <v>523137.72122866224</v>
      </c>
      <c r="H31" s="761">
        <f t="shared" si="3"/>
        <v>0.032894328802153164</v>
      </c>
      <c r="I31" s="763"/>
      <c r="J31" s="742"/>
    </row>
    <row r="32" spans="1:10" ht="12.75" customHeight="1">
      <c r="A32" s="742"/>
      <c r="B32" s="757" t="s">
        <v>364</v>
      </c>
      <c r="C32" s="758">
        <f>'3_A '!L167</f>
        <v>197790</v>
      </c>
      <c r="D32" s="759">
        <f t="shared" si="0"/>
        <v>0.016047508218475882</v>
      </c>
      <c r="E32" s="760">
        <f>4_K!BG28</f>
        <v>54210.11253151249</v>
      </c>
      <c r="F32" s="759">
        <f t="shared" si="1"/>
        <v>0.015149658115184247</v>
      </c>
      <c r="G32" s="762">
        <f t="shared" si="2"/>
        <v>252000.11253151248</v>
      </c>
      <c r="H32" s="761">
        <f t="shared" si="3"/>
        <v>0.0158454919678176</v>
      </c>
      <c r="I32" s="763"/>
      <c r="J32" s="742"/>
    </row>
    <row r="33" spans="1:10" ht="12.75" customHeight="1">
      <c r="A33" s="742"/>
      <c r="B33" s="757" t="s">
        <v>365</v>
      </c>
      <c r="C33" s="758">
        <f>'3_A '!L173</f>
        <v>51551</v>
      </c>
      <c r="D33" s="759">
        <f t="shared" si="0"/>
        <v>0.004182542576321605</v>
      </c>
      <c r="E33" s="760">
        <f>4_K!BG29</f>
        <v>15310.498877017713</v>
      </c>
      <c r="F33" s="759">
        <f t="shared" si="1"/>
        <v>0.004278700278013594</v>
      </c>
      <c r="G33" s="762">
        <f t="shared" si="2"/>
        <v>66861.49887701772</v>
      </c>
      <c r="H33" s="761">
        <f t="shared" si="3"/>
        <v>0.004204178056783786</v>
      </c>
      <c r="I33" s="763"/>
      <c r="J33" s="742"/>
    </row>
    <row r="34" spans="1:10" ht="12.75" customHeight="1">
      <c r="A34" s="742"/>
      <c r="B34" s="757" t="s">
        <v>293</v>
      </c>
      <c r="C34" s="758">
        <f>'3_A '!L179</f>
        <v>73335</v>
      </c>
      <c r="D34" s="759">
        <f t="shared" si="0"/>
        <v>0.005949967213721264</v>
      </c>
      <c r="E34" s="760">
        <f>4_K!BG30</f>
        <v>24813.241401858206</v>
      </c>
      <c r="F34" s="759">
        <f t="shared" si="1"/>
        <v>0.006934354245237328</v>
      </c>
      <c r="G34" s="762">
        <f t="shared" si="2"/>
        <v>98148.2414018582</v>
      </c>
      <c r="H34" s="761">
        <f t="shared" si="3"/>
        <v>0.006171454271053506</v>
      </c>
      <c r="I34" s="763"/>
      <c r="J34" s="742"/>
    </row>
    <row r="35" spans="1:10" ht="12.75" customHeight="1">
      <c r="A35" s="742"/>
      <c r="B35" s="757" t="s">
        <v>145</v>
      </c>
      <c r="C35" s="758">
        <f>'3_A '!L185</f>
        <v>108709</v>
      </c>
      <c r="D35" s="759">
        <f t="shared" si="0"/>
        <v>0.008820003897680848</v>
      </c>
      <c r="E35" s="760">
        <f>4_K!BG31</f>
        <v>29872.4040270649</v>
      </c>
      <c r="F35" s="759">
        <f t="shared" si="1"/>
        <v>0.008348197171249438</v>
      </c>
      <c r="G35" s="762">
        <f t="shared" si="2"/>
        <v>138581.4040270649</v>
      </c>
      <c r="H35" s="761">
        <f t="shared" si="3"/>
        <v>0.008713847396100458</v>
      </c>
      <c r="I35" s="763"/>
      <c r="J35" s="742"/>
    </row>
    <row r="36" spans="1:10" ht="12.75" customHeight="1">
      <c r="A36" s="742"/>
      <c r="B36" s="757" t="s">
        <v>280</v>
      </c>
      <c r="C36" s="758">
        <f>'3_A '!L138</f>
        <v>86062</v>
      </c>
      <c r="D36" s="759">
        <f t="shared" si="0"/>
        <v>0.006982560555632092</v>
      </c>
      <c r="E36" s="760">
        <f>4_K!BG32</f>
        <v>11752.15957472103</v>
      </c>
      <c r="F36" s="759">
        <f t="shared" si="1"/>
        <v>0.0032842802082105414</v>
      </c>
      <c r="G36" s="762">
        <f t="shared" si="2"/>
        <v>97814.15957472104</v>
      </c>
      <c r="H36" s="761">
        <f t="shared" si="3"/>
        <v>0.006150447570479776</v>
      </c>
      <c r="I36" s="763"/>
      <c r="J36" s="742"/>
    </row>
    <row r="37" spans="1:10" ht="12.75" customHeight="1" thickBot="1">
      <c r="A37" s="742"/>
      <c r="B37" s="764" t="s">
        <v>147</v>
      </c>
      <c r="C37" s="765">
        <f>'3_A '!L144</f>
        <v>97496</v>
      </c>
      <c r="D37" s="766">
        <f t="shared" si="0"/>
        <v>0.007910247541678168</v>
      </c>
      <c r="E37" s="767">
        <f>4_K!BG33</f>
        <v>3953.738714057832</v>
      </c>
      <c r="F37" s="766">
        <f t="shared" si="1"/>
        <v>0.001104919119286565</v>
      </c>
      <c r="G37" s="769">
        <f t="shared" si="2"/>
        <v>101449.73871405784</v>
      </c>
      <c r="H37" s="768">
        <f t="shared" si="3"/>
        <v>0.006379048817804706</v>
      </c>
      <c r="I37" s="763"/>
      <c r="J37" s="742"/>
    </row>
    <row r="38" spans="1:10" ht="12.75" customHeight="1" thickBot="1">
      <c r="A38" s="742"/>
      <c r="B38" s="774"/>
      <c r="C38" s="770">
        <f>SUM(C12:C37)</f>
        <v>12325278</v>
      </c>
      <c r="D38" s="771"/>
      <c r="E38" s="772">
        <f>SUM(E12:E37)</f>
        <v>3578306.0000000005</v>
      </c>
      <c r="F38" s="771"/>
      <c r="G38" s="775">
        <f t="shared" si="2"/>
        <v>15903584</v>
      </c>
      <c r="H38" s="773">
        <f>G38/G$38</f>
        <v>1</v>
      </c>
      <c r="I38" s="742"/>
      <c r="J38" s="742"/>
    </row>
    <row r="39" spans="1:10" ht="12.75" customHeight="1">
      <c r="A39" s="742"/>
      <c r="B39" s="742"/>
      <c r="C39" s="742"/>
      <c r="D39" s="742"/>
      <c r="E39" s="744"/>
      <c r="F39" s="742"/>
      <c r="G39" s="742"/>
      <c r="H39" s="742"/>
      <c r="I39" s="742"/>
      <c r="J39" s="742"/>
    </row>
    <row r="40" spans="1:10" ht="14.25">
      <c r="A40" s="742"/>
      <c r="B40" s="742"/>
      <c r="C40" s="742"/>
      <c r="D40" s="742"/>
      <c r="E40" s="742"/>
      <c r="F40" s="742"/>
      <c r="G40" s="742"/>
      <c r="H40" s="742"/>
      <c r="I40" s="742"/>
      <c r="J40" s="742"/>
    </row>
    <row r="41" spans="1:10" ht="14.25">
      <c r="A41" s="742"/>
      <c r="B41" s="742"/>
      <c r="C41" s="742"/>
      <c r="D41" s="742"/>
      <c r="E41" s="742"/>
      <c r="F41" s="742"/>
      <c r="G41" s="742"/>
      <c r="H41" s="742"/>
      <c r="I41" s="742"/>
      <c r="J41" s="742"/>
    </row>
  </sheetData>
  <sheetProtection/>
  <mergeCells count="8">
    <mergeCell ref="B10:B11"/>
    <mergeCell ref="B3:H3"/>
    <mergeCell ref="E10:E11"/>
    <mergeCell ref="F10:F11"/>
    <mergeCell ref="G10:G11"/>
    <mergeCell ref="H10:H11"/>
    <mergeCell ref="C10:C11"/>
    <mergeCell ref="D10:D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  <ignoredErrors>
    <ignoredError sqref="E12:E37 G12:G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R260"/>
  <sheetViews>
    <sheetView view="pageBreakPreview" zoomScale="77" zoomScaleNormal="70" zoomScaleSheetLayoutView="77" zoomScalePageLayoutView="0" workbookViewId="0" topLeftCell="A1">
      <pane xSplit="2" ySplit="12" topLeftCell="C13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C153" sqref="C153"/>
    </sheetView>
  </sheetViews>
  <sheetFormatPr defaultColWidth="9.140625" defaultRowHeight="15"/>
  <cols>
    <col min="1" max="1" width="22.140625" style="355" customWidth="1"/>
    <col min="2" max="2" width="15.00390625" style="355" customWidth="1"/>
    <col min="3" max="3" width="20.140625" style="359" customWidth="1"/>
    <col min="4" max="4" width="19.7109375" style="355" customWidth="1"/>
    <col min="5" max="6" width="16.00390625" style="355" customWidth="1"/>
    <col min="7" max="7" width="16.57421875" style="355" customWidth="1"/>
    <col min="8" max="8" width="15.28125" style="355" customWidth="1"/>
    <col min="9" max="9" width="15.28125" style="360" customWidth="1"/>
    <col min="10" max="10" width="16.140625" style="355" customWidth="1"/>
    <col min="11" max="11" width="15.57421875" style="355" customWidth="1"/>
    <col min="12" max="12" width="13.7109375" style="361" customWidth="1"/>
    <col min="13" max="13" width="12.7109375" style="355" customWidth="1"/>
    <col min="14" max="14" width="14.00390625" style="362" customWidth="1"/>
    <col min="15" max="15" width="10.421875" style="355" bestFit="1" customWidth="1"/>
    <col min="16" max="16384" width="9.140625" style="355" customWidth="1"/>
  </cols>
  <sheetData>
    <row r="1" spans="1:16" s="356" customFormat="1" ht="32.25" customHeight="1">
      <c r="A1" s="352" t="s">
        <v>225</v>
      </c>
      <c r="B1" s="353"/>
      <c r="C1" s="354"/>
      <c r="D1" s="353"/>
      <c r="E1" s="355"/>
      <c r="O1" s="355"/>
      <c r="P1" s="355"/>
    </row>
    <row r="2" spans="1:4" ht="21" customHeight="1">
      <c r="A2" s="357" t="s">
        <v>226</v>
      </c>
      <c r="B2" s="358" t="s">
        <v>227</v>
      </c>
      <c r="D2" s="359"/>
    </row>
    <row r="3" spans="1:4" ht="15.75" customHeight="1">
      <c r="A3" s="1044" t="s">
        <v>228</v>
      </c>
      <c r="B3" s="1044"/>
      <c r="D3" s="359"/>
    </row>
    <row r="4" spans="1:14" ht="13.5" customHeight="1">
      <c r="A4" s="363" t="s">
        <v>229</v>
      </c>
      <c r="B4" s="355" t="s">
        <v>230</v>
      </c>
      <c r="D4" s="359"/>
      <c r="E4" s="1045" t="s">
        <v>231</v>
      </c>
      <c r="F4" s="1045"/>
      <c r="G4" s="1045"/>
      <c r="H4" s="1045"/>
      <c r="I4" s="1045"/>
      <c r="J4" s="1045"/>
      <c r="K4" s="1045"/>
      <c r="L4" s="1045"/>
      <c r="M4" s="1045"/>
      <c r="N4" s="1045"/>
    </row>
    <row r="5" spans="1:14" ht="14.25" customHeight="1">
      <c r="A5" s="363" t="s">
        <v>232</v>
      </c>
      <c r="B5" s="355" t="s">
        <v>233</v>
      </c>
      <c r="D5" s="359"/>
      <c r="E5" s="1045"/>
      <c r="F5" s="1045"/>
      <c r="G5" s="1045"/>
      <c r="H5" s="1045"/>
      <c r="I5" s="1045"/>
      <c r="J5" s="1045"/>
      <c r="K5" s="1045"/>
      <c r="L5" s="1045"/>
      <c r="M5" s="1045"/>
      <c r="N5" s="1045"/>
    </row>
    <row r="6" spans="1:14" ht="12.75" customHeight="1">
      <c r="A6" s="363" t="s">
        <v>234</v>
      </c>
      <c r="B6" s="355" t="s">
        <v>235</v>
      </c>
      <c r="D6" s="359"/>
      <c r="E6" s="782" t="s">
        <v>445</v>
      </c>
      <c r="F6" s="783"/>
      <c r="G6" s="783"/>
      <c r="H6" s="783"/>
      <c r="I6" s="783"/>
      <c r="J6" s="783"/>
      <c r="K6" s="783"/>
      <c r="L6" s="783"/>
      <c r="M6" s="783"/>
      <c r="N6" s="784"/>
    </row>
    <row r="7" spans="1:12" ht="12.75" customHeight="1">
      <c r="A7" s="363" t="s">
        <v>236</v>
      </c>
      <c r="B7" s="355" t="s">
        <v>237</v>
      </c>
      <c r="D7" s="359"/>
      <c r="E7" s="365"/>
      <c r="G7" s="364"/>
      <c r="H7" s="364"/>
      <c r="I7" s="364"/>
      <c r="J7" s="364"/>
      <c r="K7" s="364"/>
      <c r="L7" s="364"/>
    </row>
    <row r="8" spans="1:5" ht="14.25">
      <c r="A8" s="363" t="s">
        <v>238</v>
      </c>
      <c r="B8" s="355" t="s">
        <v>239</v>
      </c>
      <c r="D8" s="359"/>
      <c r="E8" s="365"/>
    </row>
    <row r="9" ht="18" customHeight="1" thickBot="1"/>
    <row r="10" spans="1:16" s="379" customFormat="1" ht="76.5" customHeight="1" thickTop="1">
      <c r="A10" s="366" t="s">
        <v>77</v>
      </c>
      <c r="B10" s="367" t="s">
        <v>240</v>
      </c>
      <c r="C10" s="368" t="s">
        <v>241</v>
      </c>
      <c r="D10" s="369" t="s">
        <v>242</v>
      </c>
      <c r="E10" s="370" t="s">
        <v>243</v>
      </c>
      <c r="F10" s="371" t="s">
        <v>244</v>
      </c>
      <c r="G10" s="372" t="s">
        <v>245</v>
      </c>
      <c r="H10" s="373" t="s">
        <v>246</v>
      </c>
      <c r="I10" s="374" t="s">
        <v>247</v>
      </c>
      <c r="J10" s="373" t="s">
        <v>248</v>
      </c>
      <c r="K10" s="375" t="s">
        <v>249</v>
      </c>
      <c r="L10" s="376" t="s">
        <v>250</v>
      </c>
      <c r="M10" s="377" t="s">
        <v>251</v>
      </c>
      <c r="N10" s="378" t="s">
        <v>252</v>
      </c>
      <c r="O10" s="355"/>
      <c r="P10" s="355"/>
    </row>
    <row r="11" spans="1:16" s="361" customFormat="1" ht="12.75">
      <c r="A11" s="380">
        <v>1</v>
      </c>
      <c r="B11" s="381">
        <v>2</v>
      </c>
      <c r="C11" s="381">
        <v>3</v>
      </c>
      <c r="D11" s="383">
        <v>4</v>
      </c>
      <c r="E11" s="384">
        <v>5</v>
      </c>
      <c r="F11" s="380">
        <v>6</v>
      </c>
      <c r="G11" s="385">
        <v>7</v>
      </c>
      <c r="H11" s="380">
        <v>8</v>
      </c>
      <c r="I11" s="386">
        <v>9</v>
      </c>
      <c r="J11" s="380">
        <v>10</v>
      </c>
      <c r="K11" s="387">
        <v>11</v>
      </c>
      <c r="L11" s="384">
        <v>12</v>
      </c>
      <c r="M11" s="388">
        <v>13</v>
      </c>
      <c r="N11" s="389">
        <v>14</v>
      </c>
      <c r="O11" s="355"/>
      <c r="P11" s="355"/>
    </row>
    <row r="12" spans="1:14" ht="3" customHeight="1">
      <c r="A12" s="390"/>
      <c r="B12" s="391"/>
      <c r="C12" s="382"/>
      <c r="D12" s="392"/>
      <c r="E12" s="393"/>
      <c r="F12" s="390"/>
      <c r="G12" s="394"/>
      <c r="H12" s="390"/>
      <c r="I12" s="395"/>
      <c r="J12" s="390"/>
      <c r="K12" s="396"/>
      <c r="L12" s="393"/>
      <c r="M12" s="397"/>
      <c r="N12" s="398"/>
    </row>
    <row r="13" spans="1:18" ht="12.75" customHeight="1">
      <c r="A13" s="399" t="s">
        <v>253</v>
      </c>
      <c r="B13" s="400" t="s">
        <v>254</v>
      </c>
      <c r="C13" s="401">
        <v>6368.5</v>
      </c>
      <c r="D13" s="402">
        <v>7085</v>
      </c>
      <c r="E13" s="403">
        <f>IF(C13&gt;=0.9*D13,D13,C13+0.1*D13)</f>
        <v>7077</v>
      </c>
      <c r="F13" s="395"/>
      <c r="G13" s="404">
        <f>E13+F13</f>
        <v>7077</v>
      </c>
      <c r="H13" s="405">
        <v>1.479351495642616</v>
      </c>
      <c r="I13" s="395">
        <f>E13*H13</f>
        <v>10469.370534662792</v>
      </c>
      <c r="J13" s="406"/>
      <c r="K13" s="407">
        <f>SUM(I13:J13)</f>
        <v>10469.370534662792</v>
      </c>
      <c r="L13" s="403"/>
      <c r="M13" s="408">
        <f>IF(D13&gt;C13,C13-D13,0)</f>
        <v>-716.5</v>
      </c>
      <c r="N13" s="409">
        <f>IF(D13&lt;C13,C13-D13,0)</f>
        <v>0</v>
      </c>
      <c r="R13" s="410"/>
    </row>
    <row r="14" spans="1:18" ht="12.75" customHeight="1">
      <c r="A14" s="399" t="s">
        <v>253</v>
      </c>
      <c r="B14" s="400" t="s">
        <v>255</v>
      </c>
      <c r="C14" s="401">
        <v>2363</v>
      </c>
      <c r="D14" s="402">
        <v>2364</v>
      </c>
      <c r="E14" s="403">
        <f>IF(C14&gt;=0.9*D14,D14,C14+0.1*D14)</f>
        <v>2364</v>
      </c>
      <c r="F14" s="406">
        <f>M230</f>
        <v>167</v>
      </c>
      <c r="G14" s="404">
        <f>E14+F14</f>
        <v>2531</v>
      </c>
      <c r="H14" s="405">
        <v>2.090837917900973</v>
      </c>
      <c r="I14" s="395">
        <f>E14*H14</f>
        <v>4942.7408379179005</v>
      </c>
      <c r="J14" s="406">
        <f>N230</f>
        <v>584.5</v>
      </c>
      <c r="K14" s="407">
        <f>SUM(I14:J14)</f>
        <v>5527.2408379179005</v>
      </c>
      <c r="L14" s="403"/>
      <c r="M14" s="408">
        <f>IF(D14&gt;C14,C14-D14,0)</f>
        <v>-1</v>
      </c>
      <c r="N14" s="409">
        <f>IF(D14&lt;C14,C14-D14,0)</f>
        <v>0</v>
      </c>
      <c r="R14" s="410"/>
    </row>
    <row r="15" spans="1:18" ht="12.75" customHeight="1">
      <c r="A15" s="399" t="s">
        <v>253</v>
      </c>
      <c r="B15" s="400" t="s">
        <v>256</v>
      </c>
      <c r="C15" s="401">
        <v>3461.5</v>
      </c>
      <c r="D15" s="402">
        <v>3520</v>
      </c>
      <c r="E15" s="403">
        <f>IF(C15&gt;=0.9*D15,D15,C15+0.1*D15)</f>
        <v>3520</v>
      </c>
      <c r="F15" s="406"/>
      <c r="G15" s="404">
        <f>E15+F15</f>
        <v>3520</v>
      </c>
      <c r="H15" s="405">
        <v>1.4437267080745342</v>
      </c>
      <c r="I15" s="395">
        <f>E15*H15</f>
        <v>5081.91801242236</v>
      </c>
      <c r="J15" s="406"/>
      <c r="K15" s="407">
        <f>SUM(I15:J15)</f>
        <v>5081.91801242236</v>
      </c>
      <c r="L15" s="403"/>
      <c r="M15" s="408">
        <f>IF(D15&gt;C15,C15-D15,0)</f>
        <v>-58.5</v>
      </c>
      <c r="N15" s="409">
        <f>IF(D15&lt;C15,C15-D15,0)</f>
        <v>0</v>
      </c>
      <c r="R15" s="410"/>
    </row>
    <row r="16" spans="1:18" ht="12.75" customHeight="1">
      <c r="A16" s="411" t="s">
        <v>253</v>
      </c>
      <c r="B16" s="412" t="s">
        <v>257</v>
      </c>
      <c r="C16" s="413">
        <v>1300.5</v>
      </c>
      <c r="D16" s="414">
        <v>1499</v>
      </c>
      <c r="E16" s="403">
        <f>IF(C16&gt;=0.9*D16,D16,C16+0.1*D16)</f>
        <v>1450.4</v>
      </c>
      <c r="F16" s="415">
        <f>M231</f>
        <v>3</v>
      </c>
      <c r="G16" s="404">
        <f>E16+F16</f>
        <v>1453.4</v>
      </c>
      <c r="H16" s="416">
        <v>1.7916186082276047</v>
      </c>
      <c r="I16" s="395">
        <f>E16*H16</f>
        <v>2598.563629373318</v>
      </c>
      <c r="J16" s="415">
        <f>N231</f>
        <v>8.4</v>
      </c>
      <c r="K16" s="407">
        <f>SUM(I16:J16)</f>
        <v>2606.963629373318</v>
      </c>
      <c r="L16" s="417"/>
      <c r="M16" s="408">
        <f>IF(D16&gt;C16,C16-D16,0)</f>
        <v>-198.5</v>
      </c>
      <c r="N16" s="409">
        <f>IF(D16&lt;C16,C16-D16,0)</f>
        <v>0</v>
      </c>
      <c r="O16" s="418"/>
      <c r="P16" s="418"/>
      <c r="Q16" s="418"/>
      <c r="R16" s="410"/>
    </row>
    <row r="17" spans="1:18" ht="12.75" customHeight="1" thickBot="1">
      <c r="A17" s="419" t="s">
        <v>253</v>
      </c>
      <c r="B17" s="420" t="s">
        <v>258</v>
      </c>
      <c r="C17" s="401">
        <v>28371</v>
      </c>
      <c r="D17" s="402">
        <v>27609</v>
      </c>
      <c r="E17" s="403">
        <f>IF(C17&lt;D17,C17,D17)</f>
        <v>27609</v>
      </c>
      <c r="F17" s="415">
        <f>M232</f>
        <v>644</v>
      </c>
      <c r="G17" s="404">
        <f>E17+F17</f>
        <v>28253</v>
      </c>
      <c r="H17" s="405">
        <v>1.693798949631666</v>
      </c>
      <c r="I17" s="395">
        <f>E17*H17</f>
        <v>46764.09520038067</v>
      </c>
      <c r="J17" s="415">
        <f>N232</f>
        <v>2248.4</v>
      </c>
      <c r="K17" s="407">
        <f>SUM(I17:J17)</f>
        <v>49012.49520038067</v>
      </c>
      <c r="L17" s="417"/>
      <c r="M17" s="408">
        <f>IF(D17&gt;C17,C17-D17,0)</f>
        <v>0</v>
      </c>
      <c r="N17" s="409">
        <f>IF(D17&lt;C17,C17-D17,0)</f>
        <v>762</v>
      </c>
      <c r="O17" s="418"/>
      <c r="P17" s="418"/>
      <c r="Q17" s="418"/>
      <c r="R17" s="410"/>
    </row>
    <row r="18" spans="1:18" ht="12.75" customHeight="1" thickBot="1">
      <c r="A18" s="421" t="s">
        <v>253</v>
      </c>
      <c r="B18" s="422" t="s">
        <v>106</v>
      </c>
      <c r="C18" s="423">
        <v>41864.5</v>
      </c>
      <c r="D18" s="424">
        <v>42077</v>
      </c>
      <c r="E18" s="424">
        <f>SUM(E13:E17)</f>
        <v>42020.4</v>
      </c>
      <c r="F18" s="425">
        <f>SUM(F13:F17)</f>
        <v>814</v>
      </c>
      <c r="G18" s="426">
        <f>SUM(G13:G17)</f>
        <v>42834.4</v>
      </c>
      <c r="H18" s="425"/>
      <c r="I18" s="425">
        <f>SUM(I13:I17)</f>
        <v>69856.68821475704</v>
      </c>
      <c r="J18" s="425">
        <f>SUM(J13:J17)</f>
        <v>2841.3</v>
      </c>
      <c r="K18" s="427">
        <f>SUM(K13:K17)</f>
        <v>72697.98821475703</v>
      </c>
      <c r="L18" s="428">
        <f>ROUND(K18*$N$155/$K$150,0)</f>
        <v>1825491</v>
      </c>
      <c r="M18" s="429">
        <f>SUM(M13:M17)</f>
        <v>-974.5</v>
      </c>
      <c r="N18" s="430">
        <f>SUM(N13:N17)</f>
        <v>762</v>
      </c>
      <c r="O18" s="418"/>
      <c r="P18" s="418"/>
      <c r="Q18" s="418"/>
      <c r="R18" s="410"/>
    </row>
    <row r="19" spans="1:18" ht="12.75" customHeight="1">
      <c r="A19" s="431" t="s">
        <v>259</v>
      </c>
      <c r="B19" s="400" t="s">
        <v>254</v>
      </c>
      <c r="C19" s="401">
        <v>3772.5</v>
      </c>
      <c r="D19" s="402">
        <v>3041</v>
      </c>
      <c r="E19" s="403">
        <f>IF(C19&gt;=0.9*D19,D19,C19+0.1*D19)</f>
        <v>3041</v>
      </c>
      <c r="F19" s="395"/>
      <c r="G19" s="404">
        <f>E19+F19</f>
        <v>3041</v>
      </c>
      <c r="H19" s="405">
        <v>1.5575586481113322</v>
      </c>
      <c r="I19" s="395">
        <f>E19*H19</f>
        <v>4736.535848906561</v>
      </c>
      <c r="J19" s="406"/>
      <c r="K19" s="407">
        <f>SUM(I19:J19)</f>
        <v>4736.535848906561</v>
      </c>
      <c r="L19" s="403"/>
      <c r="M19" s="408">
        <f>IF(D19&gt;C19,C19-D19,0)</f>
        <v>0</v>
      </c>
      <c r="N19" s="409">
        <f>IF(D19&lt;C19,C19-D19,0)</f>
        <v>731.5</v>
      </c>
      <c r="O19" s="418"/>
      <c r="P19" s="418"/>
      <c r="Q19" s="418"/>
      <c r="R19" s="410"/>
    </row>
    <row r="20" spans="1:18" ht="12.75" customHeight="1">
      <c r="A20" s="390" t="s">
        <v>259</v>
      </c>
      <c r="B20" s="400" t="s">
        <v>255</v>
      </c>
      <c r="C20" s="401">
        <v>81</v>
      </c>
      <c r="D20" s="402">
        <v>62</v>
      </c>
      <c r="E20" s="403">
        <f>IF(C20&gt;=0.9*D20,D20,C20+0.1*D20)</f>
        <v>62</v>
      </c>
      <c r="F20" s="395"/>
      <c r="G20" s="404">
        <f>E20+F20</f>
        <v>62</v>
      </c>
      <c r="H20" s="405">
        <v>1.1975308641975309</v>
      </c>
      <c r="I20" s="395">
        <f>E20*H20</f>
        <v>74.24691358024691</v>
      </c>
      <c r="J20" s="406"/>
      <c r="K20" s="407">
        <f>SUM(I20:J20)</f>
        <v>74.24691358024691</v>
      </c>
      <c r="L20" s="403"/>
      <c r="M20" s="408">
        <f>IF(D20&gt;C20,C20-D20,0)</f>
        <v>0</v>
      </c>
      <c r="N20" s="409">
        <f>IF(D20&lt;C20,C20-D20,0)</f>
        <v>19</v>
      </c>
      <c r="O20" s="418"/>
      <c r="P20" s="418"/>
      <c r="Q20" s="418"/>
      <c r="R20" s="410"/>
    </row>
    <row r="21" spans="1:18" ht="12.75" customHeight="1">
      <c r="A21" s="390" t="s">
        <v>259</v>
      </c>
      <c r="B21" s="400" t="s">
        <v>256</v>
      </c>
      <c r="C21" s="401">
        <v>1122.5</v>
      </c>
      <c r="D21" s="402">
        <v>934</v>
      </c>
      <c r="E21" s="403">
        <f>IF(C21&gt;=0.9*D21,D21,C21+0.1*D21)</f>
        <v>934</v>
      </c>
      <c r="F21" s="395"/>
      <c r="G21" s="404">
        <f>E21+F21</f>
        <v>934</v>
      </c>
      <c r="H21" s="405">
        <v>1.5834743875278396</v>
      </c>
      <c r="I21" s="395">
        <f>E21*H21</f>
        <v>1478.9650779510023</v>
      </c>
      <c r="J21" s="406"/>
      <c r="K21" s="407">
        <f>SUM(I21:J21)</f>
        <v>1478.9650779510023</v>
      </c>
      <c r="L21" s="403"/>
      <c r="M21" s="408">
        <f>IF(D21&gt;C21,C21-D21,0)</f>
        <v>0</v>
      </c>
      <c r="N21" s="409">
        <f>IF(D21&lt;C21,C21-D21,0)</f>
        <v>188.5</v>
      </c>
      <c r="O21" s="418"/>
      <c r="P21" s="418"/>
      <c r="Q21" s="418"/>
      <c r="R21" s="410"/>
    </row>
    <row r="22" spans="1:18" ht="12.75" customHeight="1">
      <c r="A22" s="411" t="s">
        <v>260</v>
      </c>
      <c r="B22" s="412" t="s">
        <v>257</v>
      </c>
      <c r="C22" s="413">
        <v>157</v>
      </c>
      <c r="D22" s="414">
        <v>152</v>
      </c>
      <c r="E22" s="403">
        <f>IF(C22&gt;=0.9*D22,D22,C22+0.1*D22)</f>
        <v>152</v>
      </c>
      <c r="F22" s="432"/>
      <c r="G22" s="404">
        <f>E22+F22</f>
        <v>152</v>
      </c>
      <c r="H22" s="416">
        <v>1.8250318471337579</v>
      </c>
      <c r="I22" s="395">
        <f>E22*H22</f>
        <v>277.4048407643312</v>
      </c>
      <c r="J22" s="415"/>
      <c r="K22" s="407">
        <f>SUM(I22:J22)</f>
        <v>277.4048407643312</v>
      </c>
      <c r="L22" s="417"/>
      <c r="M22" s="408">
        <f>IF(D22&gt;C22,C22-D22,0)</f>
        <v>0</v>
      </c>
      <c r="N22" s="409">
        <f>IF(D22&lt;C22,C22-D22,0)</f>
        <v>5</v>
      </c>
      <c r="O22" s="418"/>
      <c r="P22" s="418"/>
      <c r="Q22" s="418"/>
      <c r="R22" s="410"/>
    </row>
    <row r="23" spans="1:18" ht="12.75" customHeight="1" thickBot="1">
      <c r="A23" s="433" t="s">
        <v>259</v>
      </c>
      <c r="B23" s="420" t="s">
        <v>258</v>
      </c>
      <c r="C23" s="401">
        <v>7461.5</v>
      </c>
      <c r="D23" s="402">
        <v>6805</v>
      </c>
      <c r="E23" s="403">
        <f>IF(C23&lt;D23,C23,D23)</f>
        <v>6805</v>
      </c>
      <c r="F23" s="432"/>
      <c r="G23" s="404">
        <f>E23+F23</f>
        <v>6805</v>
      </c>
      <c r="H23" s="405">
        <v>1.5292246867251893</v>
      </c>
      <c r="I23" s="395">
        <f>E23*H23</f>
        <v>10406.373993164912</v>
      </c>
      <c r="J23" s="415"/>
      <c r="K23" s="407">
        <f>SUM(I23:J23)</f>
        <v>10406.373993164912</v>
      </c>
      <c r="L23" s="417"/>
      <c r="M23" s="408">
        <f>IF(D23&gt;C23,C23-D23,0)</f>
        <v>0</v>
      </c>
      <c r="N23" s="409">
        <f>IF(D23&lt;C23,C23-D23,0)</f>
        <v>656.5</v>
      </c>
      <c r="O23" s="418"/>
      <c r="P23" s="418"/>
      <c r="Q23" s="418"/>
      <c r="R23" s="410"/>
    </row>
    <row r="24" spans="1:18" ht="12.75" customHeight="1" thickBot="1">
      <c r="A24" s="421" t="s">
        <v>259</v>
      </c>
      <c r="B24" s="422" t="s">
        <v>106</v>
      </c>
      <c r="C24" s="423">
        <v>12594.5</v>
      </c>
      <c r="D24" s="424">
        <v>10994</v>
      </c>
      <c r="E24" s="424">
        <f>SUM(E19:E23)</f>
        <v>10994</v>
      </c>
      <c r="F24" s="425">
        <f>SUM(F19:F23)</f>
        <v>0</v>
      </c>
      <c r="G24" s="426">
        <f>SUM(G19:G23)</f>
        <v>10994</v>
      </c>
      <c r="H24" s="425"/>
      <c r="I24" s="425">
        <f>SUM(I19:I23)</f>
        <v>16973.526674367055</v>
      </c>
      <c r="J24" s="425">
        <f>SUM(J19:J23)</f>
        <v>0</v>
      </c>
      <c r="K24" s="427">
        <f>SUM(K19:K23)</f>
        <v>16973.526674367055</v>
      </c>
      <c r="L24" s="428">
        <f>ROUND(K24*$N$155/$K$150,0)</f>
        <v>426216</v>
      </c>
      <c r="M24" s="429">
        <f>SUM(M19:M23)</f>
        <v>0</v>
      </c>
      <c r="N24" s="430">
        <f>SUM(N19:N23)</f>
        <v>1600.5</v>
      </c>
      <c r="O24" s="418"/>
      <c r="P24" s="418"/>
      <c r="Q24" s="418"/>
      <c r="R24" s="410"/>
    </row>
    <row r="25" spans="1:18" ht="12.75" customHeight="1">
      <c r="A25" s="431" t="s">
        <v>261</v>
      </c>
      <c r="B25" s="400" t="s">
        <v>254</v>
      </c>
      <c r="C25" s="401">
        <v>3139.5</v>
      </c>
      <c r="D25" s="402">
        <v>2845</v>
      </c>
      <c r="E25" s="403">
        <f>IF(C25&gt;=0.9*D25,D25,C25+0.1*D25)</f>
        <v>2845</v>
      </c>
      <c r="F25" s="395"/>
      <c r="G25" s="404">
        <f>E25+F25</f>
        <v>2845</v>
      </c>
      <c r="H25" s="405">
        <v>1.4880840898232204</v>
      </c>
      <c r="I25" s="395">
        <f>E25*H25</f>
        <v>4233.599235547062</v>
      </c>
      <c r="J25" s="406"/>
      <c r="K25" s="407">
        <f>SUM(I25:J25)</f>
        <v>4233.599235547062</v>
      </c>
      <c r="L25" s="403"/>
      <c r="M25" s="408">
        <f>IF(D25&gt;C25,C25-D25,0)</f>
        <v>0</v>
      </c>
      <c r="N25" s="409">
        <f>IF(D25&lt;C25,C25-D25,0)</f>
        <v>294.5</v>
      </c>
      <c r="O25" s="418"/>
      <c r="P25" s="418"/>
      <c r="Q25" s="418"/>
      <c r="R25" s="410"/>
    </row>
    <row r="26" spans="1:18" ht="12.75" customHeight="1">
      <c r="A26" s="390" t="s">
        <v>261</v>
      </c>
      <c r="B26" s="400" t="s">
        <v>255</v>
      </c>
      <c r="C26" s="401">
        <v>93.5</v>
      </c>
      <c r="D26" s="402">
        <v>113</v>
      </c>
      <c r="E26" s="403">
        <f>IF(C26&gt;=0.9*D26,D26,C26+0.1*D26)</f>
        <v>104.8</v>
      </c>
      <c r="F26" s="395"/>
      <c r="G26" s="404">
        <f>E26+F26</f>
        <v>104.8</v>
      </c>
      <c r="H26" s="405">
        <v>1.2</v>
      </c>
      <c r="I26" s="395">
        <f>E26*H26</f>
        <v>125.75999999999999</v>
      </c>
      <c r="J26" s="406"/>
      <c r="K26" s="407">
        <f>SUM(I26:J26)</f>
        <v>125.75999999999999</v>
      </c>
      <c r="L26" s="403"/>
      <c r="M26" s="408">
        <f>IF(D26&gt;C26,C26-D26,0)</f>
        <v>-19.5</v>
      </c>
      <c r="N26" s="409">
        <f>IF(D26&lt;C26,C26-D26,0)</f>
        <v>0</v>
      </c>
      <c r="O26" s="418"/>
      <c r="P26" s="418"/>
      <c r="Q26" s="418"/>
      <c r="R26" s="410"/>
    </row>
    <row r="27" spans="1:18" ht="12.75" customHeight="1">
      <c r="A27" s="390" t="s">
        <v>261</v>
      </c>
      <c r="B27" s="400" t="s">
        <v>256</v>
      </c>
      <c r="C27" s="401">
        <v>680.5</v>
      </c>
      <c r="D27" s="402">
        <v>557</v>
      </c>
      <c r="E27" s="403">
        <f>IF(C27&gt;=0.9*D27,D27,C27+0.1*D27)</f>
        <v>557</v>
      </c>
      <c r="F27" s="395"/>
      <c r="G27" s="404">
        <f>E27+F27</f>
        <v>557</v>
      </c>
      <c r="H27" s="405">
        <v>1.5066127847171198</v>
      </c>
      <c r="I27" s="395">
        <f>E27*H27</f>
        <v>839.1833210874357</v>
      </c>
      <c r="J27" s="406"/>
      <c r="K27" s="407">
        <f>SUM(I27:J27)</f>
        <v>839.1833210874357</v>
      </c>
      <c r="L27" s="403"/>
      <c r="M27" s="408">
        <f>IF(D27&gt;C27,C27-D27,0)</f>
        <v>0</v>
      </c>
      <c r="N27" s="409">
        <f>IF(D27&lt;C27,C27-D27,0)</f>
        <v>123.5</v>
      </c>
      <c r="O27" s="418"/>
      <c r="P27" s="418"/>
      <c r="Q27" s="418"/>
      <c r="R27" s="410"/>
    </row>
    <row r="28" spans="1:18" ht="12.75" customHeight="1">
      <c r="A28" s="411" t="s">
        <v>262</v>
      </c>
      <c r="B28" s="412" t="s">
        <v>257</v>
      </c>
      <c r="C28" s="413">
        <v>50</v>
      </c>
      <c r="D28" s="414">
        <v>45</v>
      </c>
      <c r="E28" s="403">
        <f>IF(C28&gt;=0.9*D28,D28,C28+0.1*D28)</f>
        <v>45</v>
      </c>
      <c r="F28" s="432"/>
      <c r="G28" s="404">
        <f>E28+F28</f>
        <v>45</v>
      </c>
      <c r="H28" s="416">
        <v>1.7209999999999999</v>
      </c>
      <c r="I28" s="395">
        <f>E28*H28</f>
        <v>77.445</v>
      </c>
      <c r="J28" s="415"/>
      <c r="K28" s="407">
        <f>SUM(I28:J28)</f>
        <v>77.445</v>
      </c>
      <c r="L28" s="417"/>
      <c r="M28" s="408">
        <f>IF(D28&gt;C28,C28-D28,0)</f>
        <v>0</v>
      </c>
      <c r="N28" s="409">
        <f>IF(D28&lt;C28,C28-D28,0)</f>
        <v>5</v>
      </c>
      <c r="O28" s="418"/>
      <c r="P28" s="418"/>
      <c r="Q28" s="418"/>
      <c r="R28" s="410"/>
    </row>
    <row r="29" spans="1:18" ht="12.75" customHeight="1" thickBot="1">
      <c r="A29" s="433" t="s">
        <v>261</v>
      </c>
      <c r="B29" s="420" t="s">
        <v>258</v>
      </c>
      <c r="C29" s="401">
        <v>6044</v>
      </c>
      <c r="D29" s="402">
        <v>5972</v>
      </c>
      <c r="E29" s="403">
        <f>IF(C29&lt;D29,C29,D29)</f>
        <v>5972</v>
      </c>
      <c r="F29" s="432"/>
      <c r="G29" s="404">
        <f>E29+F29</f>
        <v>5972</v>
      </c>
      <c r="H29" s="405">
        <v>1.4597418927862342</v>
      </c>
      <c r="I29" s="395">
        <f>E29*H29</f>
        <v>8717.57858371939</v>
      </c>
      <c r="J29" s="415"/>
      <c r="K29" s="407">
        <f>SUM(I29:J29)</f>
        <v>8717.57858371939</v>
      </c>
      <c r="L29" s="417"/>
      <c r="M29" s="408">
        <f>IF(D29&gt;C29,C29-D29,0)</f>
        <v>0</v>
      </c>
      <c r="N29" s="409">
        <f>IF(D29&lt;C29,C29-D29,0)</f>
        <v>72</v>
      </c>
      <c r="O29" s="418"/>
      <c r="P29" s="418"/>
      <c r="Q29" s="418"/>
      <c r="R29" s="410"/>
    </row>
    <row r="30" spans="1:18" ht="12.75" customHeight="1" thickBot="1">
      <c r="A30" s="421" t="s">
        <v>261</v>
      </c>
      <c r="B30" s="422" t="s">
        <v>106</v>
      </c>
      <c r="C30" s="423">
        <v>10007.5</v>
      </c>
      <c r="D30" s="424">
        <v>9532</v>
      </c>
      <c r="E30" s="424">
        <f>SUM(E25:E29)</f>
        <v>9523.8</v>
      </c>
      <c r="F30" s="425">
        <f>SUM(F25:F29)</f>
        <v>0</v>
      </c>
      <c r="G30" s="426">
        <f>SUM(G25:G29)</f>
        <v>9523.8</v>
      </c>
      <c r="H30" s="425"/>
      <c r="I30" s="425">
        <f>SUM(I25:I29)</f>
        <v>13993.566140353887</v>
      </c>
      <c r="J30" s="425">
        <f>SUM(J25:J29)</f>
        <v>0</v>
      </c>
      <c r="K30" s="427">
        <f>SUM(K25:K29)</f>
        <v>13993.566140353887</v>
      </c>
      <c r="L30" s="428">
        <f>ROUND(K30*$N$155/$K$150,0)</f>
        <v>351387</v>
      </c>
      <c r="M30" s="429">
        <f>SUM(M25:M29)</f>
        <v>-19.5</v>
      </c>
      <c r="N30" s="430">
        <f>SUM(N25:N29)</f>
        <v>495</v>
      </c>
      <c r="O30" s="418"/>
      <c r="P30" s="418"/>
      <c r="Q30" s="418"/>
      <c r="R30" s="410"/>
    </row>
    <row r="31" spans="1:18" ht="12.75" customHeight="1">
      <c r="A31" s="431" t="s">
        <v>263</v>
      </c>
      <c r="B31" s="400" t="s">
        <v>254</v>
      </c>
      <c r="C31" s="401">
        <v>7865.5</v>
      </c>
      <c r="D31" s="402">
        <v>8112</v>
      </c>
      <c r="E31" s="403">
        <f>IF(C31&gt;=0.9*D31,D31,C31+0.1*D31)</f>
        <v>8112</v>
      </c>
      <c r="F31" s="406"/>
      <c r="G31" s="404">
        <f>E31+F31</f>
        <v>8112</v>
      </c>
      <c r="H31" s="405">
        <v>1.3694742864407858</v>
      </c>
      <c r="I31" s="395">
        <f>E31*H31</f>
        <v>11109.175411607655</v>
      </c>
      <c r="J31" s="406"/>
      <c r="K31" s="407">
        <f>SUM(I31:J31)</f>
        <v>11109.175411607655</v>
      </c>
      <c r="L31" s="403"/>
      <c r="M31" s="408">
        <f>IF(D31&gt;C31,C31-D31,0)</f>
        <v>-246.5</v>
      </c>
      <c r="N31" s="409">
        <f>IF(D31&lt;C31,C31-D31,0)</f>
        <v>0</v>
      </c>
      <c r="O31" s="418"/>
      <c r="P31" s="418"/>
      <c r="Q31" s="418"/>
      <c r="R31" s="410"/>
    </row>
    <row r="32" spans="1:18" ht="12.75" customHeight="1">
      <c r="A32" s="390" t="s">
        <v>263</v>
      </c>
      <c r="B32" s="400" t="s">
        <v>255</v>
      </c>
      <c r="C32" s="401">
        <v>1260</v>
      </c>
      <c r="D32" s="402">
        <v>1461</v>
      </c>
      <c r="E32" s="403">
        <f>IF(C32&gt;=0.9*D32,D32,C32+0.1*D32)</f>
        <v>1406.1</v>
      </c>
      <c r="F32" s="406">
        <f>M234</f>
        <v>79</v>
      </c>
      <c r="G32" s="404">
        <f>E32+F32</f>
        <v>1485.1</v>
      </c>
      <c r="H32" s="405">
        <v>1.5592857142857144</v>
      </c>
      <c r="I32" s="395">
        <f>E32*H32</f>
        <v>2192.5116428571428</v>
      </c>
      <c r="J32" s="406">
        <f>N234</f>
        <v>276.5</v>
      </c>
      <c r="K32" s="407">
        <f>SUM(I32:J32)</f>
        <v>2469.0116428571428</v>
      </c>
      <c r="L32" s="403"/>
      <c r="M32" s="408">
        <f>IF(D32&gt;C32,C32-D32,0)</f>
        <v>-201</v>
      </c>
      <c r="N32" s="409">
        <f>IF(D32&lt;C32,C32-D32,0)</f>
        <v>0</v>
      </c>
      <c r="O32" s="418"/>
      <c r="P32" s="418"/>
      <c r="Q32" s="418"/>
      <c r="R32" s="410"/>
    </row>
    <row r="33" spans="1:18" ht="12.75" customHeight="1">
      <c r="A33" s="390" t="s">
        <v>263</v>
      </c>
      <c r="B33" s="400" t="s">
        <v>256</v>
      </c>
      <c r="C33" s="401">
        <v>4306.5</v>
      </c>
      <c r="D33" s="402">
        <v>3880</v>
      </c>
      <c r="E33" s="403">
        <f>IF(C33&gt;=0.9*D33,D33,C33+0.1*D33)</f>
        <v>3880</v>
      </c>
      <c r="F33" s="406"/>
      <c r="G33" s="404">
        <f>E33+F33</f>
        <v>3880</v>
      </c>
      <c r="H33" s="405">
        <v>1.3183768721699756</v>
      </c>
      <c r="I33" s="395">
        <f>E33*H33</f>
        <v>5115.302264019505</v>
      </c>
      <c r="J33" s="406"/>
      <c r="K33" s="407">
        <f>SUM(I33:J33)</f>
        <v>5115.302264019505</v>
      </c>
      <c r="L33" s="403"/>
      <c r="M33" s="408">
        <f>IF(D33&gt;C33,C33-D33,0)</f>
        <v>0</v>
      </c>
      <c r="N33" s="409">
        <f>IF(D33&lt;C33,C33-D33,0)</f>
        <v>426.5</v>
      </c>
      <c r="O33" s="418"/>
      <c r="P33" s="418"/>
      <c r="Q33" s="418"/>
      <c r="R33" s="410"/>
    </row>
    <row r="34" spans="1:18" ht="12.75" customHeight="1">
      <c r="A34" s="411" t="s">
        <v>263</v>
      </c>
      <c r="B34" s="412" t="s">
        <v>257</v>
      </c>
      <c r="C34" s="413">
        <v>648</v>
      </c>
      <c r="D34" s="414">
        <v>664</v>
      </c>
      <c r="E34" s="403">
        <f>IF(C34&gt;=0.9*D34,D34,C34+0.1*D34)</f>
        <v>664</v>
      </c>
      <c r="F34" s="415">
        <f>M235</f>
        <v>2</v>
      </c>
      <c r="G34" s="404">
        <f>E34+F34</f>
        <v>666</v>
      </c>
      <c r="H34" s="416">
        <v>1.8152006172839505</v>
      </c>
      <c r="I34" s="395">
        <f>E34*H34</f>
        <v>1205.2932098765432</v>
      </c>
      <c r="J34" s="415">
        <f>N235</f>
        <v>5.6</v>
      </c>
      <c r="K34" s="407">
        <f>SUM(I34:J34)</f>
        <v>1210.893209876543</v>
      </c>
      <c r="L34" s="417"/>
      <c r="M34" s="408">
        <f>IF(D34&gt;C34,C34-D34,0)</f>
        <v>-16</v>
      </c>
      <c r="N34" s="409">
        <f>IF(D34&lt;C34,C34-D34,0)</f>
        <v>0</v>
      </c>
      <c r="O34" s="418"/>
      <c r="P34" s="418"/>
      <c r="Q34" s="418"/>
      <c r="R34" s="410"/>
    </row>
    <row r="35" spans="1:18" ht="12.75" customHeight="1" thickBot="1">
      <c r="A35" s="433" t="s">
        <v>263</v>
      </c>
      <c r="B35" s="420" t="s">
        <v>258</v>
      </c>
      <c r="C35" s="401">
        <v>24690</v>
      </c>
      <c r="D35" s="402">
        <v>23273</v>
      </c>
      <c r="E35" s="403">
        <f>IF(C35&lt;D35,C35,D35)</f>
        <v>23273</v>
      </c>
      <c r="F35" s="415">
        <f>M236</f>
        <v>302.5</v>
      </c>
      <c r="G35" s="404">
        <f>E35+F35</f>
        <v>23575.5</v>
      </c>
      <c r="H35" s="405">
        <v>1.4237962737950587</v>
      </c>
      <c r="I35" s="395">
        <f>E35*H35</f>
        <v>33136.0106800324</v>
      </c>
      <c r="J35" s="415">
        <f>N236</f>
        <v>1047.55</v>
      </c>
      <c r="K35" s="407">
        <f>SUM(I35:J35)</f>
        <v>34183.5606800324</v>
      </c>
      <c r="L35" s="417"/>
      <c r="M35" s="408">
        <f>IF(D35&gt;C35,C35-D35,0)</f>
        <v>0</v>
      </c>
      <c r="N35" s="409">
        <f>IF(D35&lt;C35,C35-D35,0)</f>
        <v>1417</v>
      </c>
      <c r="O35" s="418"/>
      <c r="P35" s="418"/>
      <c r="Q35" s="418"/>
      <c r="R35" s="410"/>
    </row>
    <row r="36" spans="1:18" ht="12.75" customHeight="1" thickBot="1">
      <c r="A36" s="421" t="s">
        <v>263</v>
      </c>
      <c r="B36" s="422" t="s">
        <v>106</v>
      </c>
      <c r="C36" s="423">
        <v>38770</v>
      </c>
      <c r="D36" s="424">
        <v>37390</v>
      </c>
      <c r="E36" s="424">
        <f>SUM(E31:E35)</f>
        <v>37335.1</v>
      </c>
      <c r="F36" s="425">
        <f>SUM(F31:F35)</f>
        <v>383.5</v>
      </c>
      <c r="G36" s="426">
        <f>SUM(G31:G35)</f>
        <v>37718.6</v>
      </c>
      <c r="H36" s="425"/>
      <c r="I36" s="425">
        <f>SUM(I31:I35)</f>
        <v>52758.29320839325</v>
      </c>
      <c r="J36" s="425">
        <f>SUM(J31:J35)</f>
        <v>1329.65</v>
      </c>
      <c r="K36" s="427">
        <f>SUM(K31:K35)</f>
        <v>54087.94320839325</v>
      </c>
      <c r="L36" s="428">
        <f>ROUND(K36*$N$155/$K$150,0)</f>
        <v>1358181</v>
      </c>
      <c r="M36" s="429">
        <f>SUM(M31:M35)</f>
        <v>-463.5</v>
      </c>
      <c r="N36" s="430">
        <f>SUM(N31:N35)</f>
        <v>1843.5</v>
      </c>
      <c r="O36" s="418"/>
      <c r="P36" s="418"/>
      <c r="Q36" s="418"/>
      <c r="R36" s="410"/>
    </row>
    <row r="37" spans="1:18" ht="12.75" customHeight="1">
      <c r="A37" s="434" t="s">
        <v>264</v>
      </c>
      <c r="B37" s="400" t="s">
        <v>254</v>
      </c>
      <c r="C37" s="401">
        <v>4402.5</v>
      </c>
      <c r="D37" s="402">
        <v>3992</v>
      </c>
      <c r="E37" s="403">
        <f>IF(C37&gt;=0.9*D37,D37,C37+0.1*D37)</f>
        <v>3992</v>
      </c>
      <c r="F37" s="406"/>
      <c r="G37" s="404">
        <f>E37+F37</f>
        <v>3992</v>
      </c>
      <c r="H37" s="405">
        <v>1.4799591141396935</v>
      </c>
      <c r="I37" s="395">
        <f>E37*H37</f>
        <v>5907.996783645656</v>
      </c>
      <c r="J37" s="406"/>
      <c r="K37" s="407">
        <f>SUM(I37:J37)</f>
        <v>5907.996783645656</v>
      </c>
      <c r="L37" s="403"/>
      <c r="M37" s="408">
        <f>IF(D37&gt;C37,C37-D37,0)</f>
        <v>0</v>
      </c>
      <c r="N37" s="409">
        <f>IF(D37&lt;C37,C37-D37,0)</f>
        <v>410.5</v>
      </c>
      <c r="O37" s="418"/>
      <c r="P37" s="418"/>
      <c r="Q37" s="418"/>
      <c r="R37" s="410"/>
    </row>
    <row r="38" spans="1:18" ht="12.75" customHeight="1">
      <c r="A38" s="399" t="s">
        <v>264</v>
      </c>
      <c r="B38" s="400" t="s">
        <v>255</v>
      </c>
      <c r="C38" s="401">
        <v>745</v>
      </c>
      <c r="D38" s="402">
        <v>722</v>
      </c>
      <c r="E38" s="403">
        <f>IF(C38&gt;=0.9*D38,D38,C38+0.1*D38)</f>
        <v>722</v>
      </c>
      <c r="F38" s="406">
        <f>M238</f>
        <v>80</v>
      </c>
      <c r="G38" s="404">
        <f>E38+F38</f>
        <v>802</v>
      </c>
      <c r="H38" s="405">
        <v>1.568724832214765</v>
      </c>
      <c r="I38" s="395">
        <f>E38*H38</f>
        <v>1132.6193288590605</v>
      </c>
      <c r="J38" s="406">
        <f>N238</f>
        <v>280</v>
      </c>
      <c r="K38" s="407">
        <f>SUM(I38:J38)</f>
        <v>1412.6193288590605</v>
      </c>
      <c r="L38" s="403"/>
      <c r="M38" s="408">
        <f>IF(D38&gt;C38,C38-D38,0)</f>
        <v>0</v>
      </c>
      <c r="N38" s="409">
        <f>IF(D38&lt;C38,C38-D38,0)</f>
        <v>23</v>
      </c>
      <c r="O38" s="418"/>
      <c r="P38" s="418"/>
      <c r="Q38" s="418"/>
      <c r="R38" s="410"/>
    </row>
    <row r="39" spans="1:18" ht="12.75" customHeight="1">
      <c r="A39" s="399" t="s">
        <v>264</v>
      </c>
      <c r="B39" s="400" t="s">
        <v>256</v>
      </c>
      <c r="C39" s="401">
        <v>1755</v>
      </c>
      <c r="D39" s="402">
        <v>1633</v>
      </c>
      <c r="E39" s="403">
        <f>IF(C39&gt;=0.9*D39,D39,C39+0.1*D39)</f>
        <v>1633</v>
      </c>
      <c r="F39" s="406"/>
      <c r="G39" s="404">
        <f>E39+F39</f>
        <v>1633</v>
      </c>
      <c r="H39" s="405">
        <v>1.41982905982906</v>
      </c>
      <c r="I39" s="395">
        <f>E39*H39</f>
        <v>2318.580854700855</v>
      </c>
      <c r="J39" s="406"/>
      <c r="K39" s="407">
        <f>SUM(I39:J39)</f>
        <v>2318.580854700855</v>
      </c>
      <c r="L39" s="403"/>
      <c r="M39" s="408">
        <f>IF(D39&gt;C39,C39-D39,0)</f>
        <v>0</v>
      </c>
      <c r="N39" s="409">
        <f>IF(D39&lt;C39,C39-D39,0)</f>
        <v>122</v>
      </c>
      <c r="O39" s="418"/>
      <c r="P39" s="418"/>
      <c r="Q39" s="418"/>
      <c r="R39" s="410"/>
    </row>
    <row r="40" spans="1:18" ht="12.75" customHeight="1">
      <c r="A40" s="411" t="s">
        <v>264</v>
      </c>
      <c r="B40" s="412" t="s">
        <v>257</v>
      </c>
      <c r="C40" s="413">
        <v>367</v>
      </c>
      <c r="D40" s="414">
        <v>343</v>
      </c>
      <c r="E40" s="403">
        <f>IF(C40&gt;=0.9*D40,D40,C40+0.1*D40)</f>
        <v>343</v>
      </c>
      <c r="F40" s="415">
        <f>M239</f>
        <v>0</v>
      </c>
      <c r="G40" s="404">
        <f>E40+F40</f>
        <v>343</v>
      </c>
      <c r="H40" s="416">
        <v>1.8132152588555859</v>
      </c>
      <c r="I40" s="395">
        <f>E40*H40</f>
        <v>621.9328337874659</v>
      </c>
      <c r="J40" s="415">
        <f>N239</f>
        <v>0</v>
      </c>
      <c r="K40" s="407">
        <f>SUM(I40:J40)</f>
        <v>621.9328337874659</v>
      </c>
      <c r="L40" s="417"/>
      <c r="M40" s="408">
        <f>IF(D40&gt;C40,C40-D40,0)</f>
        <v>0</v>
      </c>
      <c r="N40" s="409">
        <f>IF(D40&lt;C40,C40-D40,0)</f>
        <v>24</v>
      </c>
      <c r="O40" s="418"/>
      <c r="P40" s="418"/>
      <c r="Q40" s="418"/>
      <c r="R40" s="410"/>
    </row>
    <row r="41" spans="1:18" ht="12.75" customHeight="1" thickBot="1">
      <c r="A41" s="419" t="s">
        <v>264</v>
      </c>
      <c r="B41" s="420" t="s">
        <v>258</v>
      </c>
      <c r="C41" s="401">
        <v>13204</v>
      </c>
      <c r="D41" s="402">
        <v>12902</v>
      </c>
      <c r="E41" s="403">
        <f>IF(C41&lt;D41,C41,D41)</f>
        <v>12902</v>
      </c>
      <c r="F41" s="415">
        <f>M240</f>
        <v>338.5</v>
      </c>
      <c r="G41" s="404">
        <f>E41+F41</f>
        <v>13240.5</v>
      </c>
      <c r="H41" s="405">
        <v>1.4808717055437746</v>
      </c>
      <c r="I41" s="395">
        <f>E41*H41</f>
        <v>19106.20674492578</v>
      </c>
      <c r="J41" s="415">
        <f>N240</f>
        <v>1184.75</v>
      </c>
      <c r="K41" s="407">
        <f>SUM(I41:J41)</f>
        <v>20290.95674492578</v>
      </c>
      <c r="L41" s="417"/>
      <c r="M41" s="408">
        <f>IF(D41&gt;C41,C41-D41,0)</f>
        <v>0</v>
      </c>
      <c r="N41" s="409">
        <f>IF(D41&lt;C41,C41-D41,0)</f>
        <v>302</v>
      </c>
      <c r="O41" s="418"/>
      <c r="P41" s="418"/>
      <c r="Q41" s="418"/>
      <c r="R41" s="410"/>
    </row>
    <row r="42" spans="1:18" ht="12.75" customHeight="1" thickBot="1">
      <c r="A42" s="421" t="s">
        <v>264</v>
      </c>
      <c r="B42" s="422" t="s">
        <v>106</v>
      </c>
      <c r="C42" s="423">
        <v>20473.5</v>
      </c>
      <c r="D42" s="424">
        <v>19592</v>
      </c>
      <c r="E42" s="424">
        <f>SUM(E37:E41)</f>
        <v>19592</v>
      </c>
      <c r="F42" s="425">
        <f>SUM(F37:F41)</f>
        <v>418.5</v>
      </c>
      <c r="G42" s="426">
        <f>SUM(G37:G41)</f>
        <v>20010.5</v>
      </c>
      <c r="H42" s="425"/>
      <c r="I42" s="425">
        <f>SUM(I37:I41)</f>
        <v>29087.33654591882</v>
      </c>
      <c r="J42" s="425">
        <f>SUM(J37:J41)</f>
        <v>1464.75</v>
      </c>
      <c r="K42" s="427">
        <f>SUM(K37:K41)</f>
        <v>30552.08654591882</v>
      </c>
      <c r="L42" s="428">
        <f>ROUND(K42*$N$155/$K$150,0)</f>
        <v>767182</v>
      </c>
      <c r="M42" s="429">
        <f>SUM(M37:M41)</f>
        <v>0</v>
      </c>
      <c r="N42" s="430">
        <f>SUM(N37:N41)</f>
        <v>881.5</v>
      </c>
      <c r="O42" s="418"/>
      <c r="P42" s="418"/>
      <c r="Q42" s="418"/>
      <c r="R42" s="410"/>
    </row>
    <row r="43" spans="1:18" ht="12.75" customHeight="1">
      <c r="A43" s="431" t="s">
        <v>265</v>
      </c>
      <c r="B43" s="400" t="s">
        <v>254</v>
      </c>
      <c r="C43" s="401">
        <v>162.5</v>
      </c>
      <c r="D43" s="402">
        <v>111</v>
      </c>
      <c r="E43" s="403">
        <f>IF(C43&gt;=0.9*D43,D43,C43+0.1*D43)</f>
        <v>111</v>
      </c>
      <c r="F43" s="395"/>
      <c r="G43" s="404">
        <f>E43+F43</f>
        <v>111</v>
      </c>
      <c r="H43" s="405">
        <v>3.5</v>
      </c>
      <c r="I43" s="395">
        <f>E43*H43</f>
        <v>388.5</v>
      </c>
      <c r="J43" s="406"/>
      <c r="K43" s="407">
        <f>SUM(I43:J43)</f>
        <v>388.5</v>
      </c>
      <c r="L43" s="403"/>
      <c r="M43" s="408">
        <f>IF(D43&gt;C43,C43-D43,0)</f>
        <v>0</v>
      </c>
      <c r="N43" s="409">
        <f>IF(D43&lt;C43,C43-D43,0)</f>
        <v>51.5</v>
      </c>
      <c r="O43" s="418"/>
      <c r="P43" s="418"/>
      <c r="Q43" s="418"/>
      <c r="R43" s="410"/>
    </row>
    <row r="44" spans="1:18" ht="12.75" customHeight="1">
      <c r="A44" s="390" t="s">
        <v>265</v>
      </c>
      <c r="B44" s="400" t="s">
        <v>255</v>
      </c>
      <c r="C44" s="401">
        <v>456</v>
      </c>
      <c r="D44" s="414">
        <v>425</v>
      </c>
      <c r="E44" s="403">
        <f>IF(C44&gt;=0.9*D44,D44,C44+0.1*D44)</f>
        <v>425</v>
      </c>
      <c r="F44" s="395"/>
      <c r="G44" s="404">
        <f>E44+F44</f>
        <v>425</v>
      </c>
      <c r="H44" s="405">
        <v>3.0559210526315788</v>
      </c>
      <c r="I44" s="395">
        <f>E44*H44</f>
        <v>1298.766447368421</v>
      </c>
      <c r="J44" s="406"/>
      <c r="K44" s="407">
        <f>SUM(I44:J44)</f>
        <v>1298.766447368421</v>
      </c>
      <c r="L44" s="403"/>
      <c r="M44" s="408">
        <f>IF(D44&gt;C44,C44-D44,0)</f>
        <v>0</v>
      </c>
      <c r="N44" s="409">
        <f>IF(D44&lt;C44,C44-D44,0)</f>
        <v>31</v>
      </c>
      <c r="O44" s="418"/>
      <c r="P44" s="418"/>
      <c r="Q44" s="418"/>
      <c r="R44" s="410"/>
    </row>
    <row r="45" spans="1:18" ht="12.75" customHeight="1">
      <c r="A45" s="390" t="s">
        <v>265</v>
      </c>
      <c r="B45" s="400" t="s">
        <v>256</v>
      </c>
      <c r="C45" s="401">
        <v>47</v>
      </c>
      <c r="D45" s="414">
        <v>51</v>
      </c>
      <c r="E45" s="403">
        <f>IF(C45&gt;=0.9*D45,D45,C45+0.1*D45)</f>
        <v>51</v>
      </c>
      <c r="F45" s="395"/>
      <c r="G45" s="404">
        <f>E45+F45</f>
        <v>51</v>
      </c>
      <c r="H45" s="405">
        <v>3.5</v>
      </c>
      <c r="I45" s="395">
        <f>E45*H45</f>
        <v>178.5</v>
      </c>
      <c r="J45" s="406"/>
      <c r="K45" s="407">
        <f>SUM(I45:J45)</f>
        <v>178.5</v>
      </c>
      <c r="L45" s="403"/>
      <c r="M45" s="408">
        <f>IF(D45&gt;C45,C45-D45,0)</f>
        <v>-4</v>
      </c>
      <c r="N45" s="409">
        <f>IF(D45&lt;C45,C45-D45,0)</f>
        <v>0</v>
      </c>
      <c r="O45" s="418"/>
      <c r="P45" s="418"/>
      <c r="Q45" s="418"/>
      <c r="R45" s="410"/>
    </row>
    <row r="46" spans="1:18" ht="12.75" customHeight="1">
      <c r="A46" s="411" t="s">
        <v>265</v>
      </c>
      <c r="B46" s="412" t="s">
        <v>257</v>
      </c>
      <c r="C46" s="413">
        <v>60</v>
      </c>
      <c r="D46" s="414">
        <v>63</v>
      </c>
      <c r="E46" s="403">
        <f>IF(C46&gt;=0.9*D46,D46,C46+0.1*D46)</f>
        <v>63</v>
      </c>
      <c r="F46" s="432"/>
      <c r="G46" s="404">
        <f>E46+F46</f>
        <v>63</v>
      </c>
      <c r="H46" s="416">
        <v>3.125</v>
      </c>
      <c r="I46" s="395">
        <f>E46*H46</f>
        <v>196.875</v>
      </c>
      <c r="J46" s="415"/>
      <c r="K46" s="407">
        <f>SUM(I46:J46)</f>
        <v>196.875</v>
      </c>
      <c r="L46" s="417"/>
      <c r="M46" s="408">
        <f>IF(D46&gt;C46,C46-D46,0)</f>
        <v>-3</v>
      </c>
      <c r="N46" s="409">
        <f>IF(D46&lt;C46,C46-D46,0)</f>
        <v>0</v>
      </c>
      <c r="O46" s="418"/>
      <c r="P46" s="418"/>
      <c r="R46" s="410"/>
    </row>
    <row r="47" spans="1:18" ht="12.75" customHeight="1" thickBot="1">
      <c r="A47" s="433" t="s">
        <v>265</v>
      </c>
      <c r="B47" s="420" t="s">
        <v>258</v>
      </c>
      <c r="C47" s="401">
        <v>2015.5</v>
      </c>
      <c r="D47" s="402">
        <v>1935</v>
      </c>
      <c r="E47" s="403">
        <f>IF(C47&lt;D47,C47,D47)</f>
        <v>1935</v>
      </c>
      <c r="F47" s="432"/>
      <c r="G47" s="404">
        <f>E47+F47</f>
        <v>1935</v>
      </c>
      <c r="H47" s="405">
        <v>3.1272637062763584</v>
      </c>
      <c r="I47" s="395">
        <f>E47*H47</f>
        <v>6051.2552716447535</v>
      </c>
      <c r="J47" s="415"/>
      <c r="K47" s="407">
        <f>SUM(I47:J47)</f>
        <v>6051.2552716447535</v>
      </c>
      <c r="L47" s="417"/>
      <c r="M47" s="408">
        <f>IF(D47&gt;C47,C47-D47,0)</f>
        <v>0</v>
      </c>
      <c r="N47" s="409">
        <f>IF(D47&lt;C47,C47-D47,0)</f>
        <v>80.5</v>
      </c>
      <c r="O47" s="418"/>
      <c r="P47" s="418"/>
      <c r="R47" s="410"/>
    </row>
    <row r="48" spans="1:18" ht="12.75" customHeight="1" thickBot="1">
      <c r="A48" s="421" t="s">
        <v>265</v>
      </c>
      <c r="B48" s="422" t="s">
        <v>106</v>
      </c>
      <c r="C48" s="423">
        <v>2741</v>
      </c>
      <c r="D48" s="424">
        <v>2585</v>
      </c>
      <c r="E48" s="424">
        <f>SUM(E43:E47)</f>
        <v>2585</v>
      </c>
      <c r="F48" s="425">
        <f>SUM(F43:F47)</f>
        <v>0</v>
      </c>
      <c r="G48" s="426">
        <f>SUM(G43:G47)</f>
        <v>2585</v>
      </c>
      <c r="H48" s="425"/>
      <c r="I48" s="425">
        <f>SUM(I43:I47)</f>
        <v>8113.896719013174</v>
      </c>
      <c r="J48" s="425">
        <f>SUM(J43:J47)</f>
        <v>0</v>
      </c>
      <c r="K48" s="427">
        <f>SUM(K43:K47)</f>
        <v>8113.896719013174</v>
      </c>
      <c r="L48" s="428">
        <f>ROUND(K48*$N$155/$K$150,0)</f>
        <v>203745</v>
      </c>
      <c r="M48" s="429">
        <f>SUM(M43:M47)</f>
        <v>-7</v>
      </c>
      <c r="N48" s="430">
        <f>SUM(N43:N47)</f>
        <v>163</v>
      </c>
      <c r="O48" s="418"/>
      <c r="P48" s="418"/>
      <c r="R48" s="410"/>
    </row>
    <row r="49" spans="1:18" ht="12.75" customHeight="1">
      <c r="A49" s="431" t="s">
        <v>266</v>
      </c>
      <c r="B49" s="400" t="s">
        <v>254</v>
      </c>
      <c r="C49" s="401">
        <v>2654.5</v>
      </c>
      <c r="D49" s="402">
        <v>2466</v>
      </c>
      <c r="E49" s="403">
        <f>IF(C49&gt;=0.9*D49,D49,C49+0.1*D49)</f>
        <v>2466</v>
      </c>
      <c r="F49" s="395"/>
      <c r="G49" s="404">
        <f>E49+F49</f>
        <v>2466</v>
      </c>
      <c r="H49" s="405">
        <v>1.5653230363533621</v>
      </c>
      <c r="I49" s="395">
        <f>E49*H49</f>
        <v>3860.086607647391</v>
      </c>
      <c r="J49" s="406"/>
      <c r="K49" s="407">
        <f>SUM(I49:J49)</f>
        <v>3860.086607647391</v>
      </c>
      <c r="L49" s="403"/>
      <c r="M49" s="408">
        <f>IF(D49&gt;C49,C49-D49,0)</f>
        <v>0</v>
      </c>
      <c r="N49" s="409">
        <f>IF(D49&lt;C49,C49-D49,0)</f>
        <v>188.5</v>
      </c>
      <c r="O49" s="418"/>
      <c r="P49" s="418"/>
      <c r="R49" s="410"/>
    </row>
    <row r="50" spans="1:18" ht="12.75" customHeight="1">
      <c r="A50" s="390" t="s">
        <v>266</v>
      </c>
      <c r="B50" s="400" t="s">
        <v>255</v>
      </c>
      <c r="C50" s="401">
        <v>194</v>
      </c>
      <c r="D50" s="402">
        <v>190</v>
      </c>
      <c r="E50" s="403">
        <f>IF(C50&gt;=0.9*D50,D50,C50+0.1*D50)</f>
        <v>190</v>
      </c>
      <c r="F50" s="395"/>
      <c r="G50" s="404">
        <f>E50+F50</f>
        <v>190</v>
      </c>
      <c r="H50" s="405">
        <v>2.0577319587628864</v>
      </c>
      <c r="I50" s="395">
        <f>E50*H50</f>
        <v>390.96907216494844</v>
      </c>
      <c r="J50" s="406"/>
      <c r="K50" s="407">
        <f>SUM(I50:J50)</f>
        <v>390.96907216494844</v>
      </c>
      <c r="L50" s="403"/>
      <c r="M50" s="408">
        <f>IF(D50&gt;C50,C50-D50,0)</f>
        <v>0</v>
      </c>
      <c r="N50" s="409">
        <f>IF(D50&lt;C50,C50-D50,0)</f>
        <v>4</v>
      </c>
      <c r="O50" s="418"/>
      <c r="P50" s="418"/>
      <c r="R50" s="410"/>
    </row>
    <row r="51" spans="1:18" ht="12.75" customHeight="1">
      <c r="A51" s="390" t="s">
        <v>266</v>
      </c>
      <c r="B51" s="400" t="s">
        <v>256</v>
      </c>
      <c r="C51" s="401">
        <v>984</v>
      </c>
      <c r="D51" s="402">
        <v>800</v>
      </c>
      <c r="E51" s="403">
        <f>IF(C51&gt;=0.9*D51,D51,C51+0.1*D51)</f>
        <v>800</v>
      </c>
      <c r="F51" s="395"/>
      <c r="G51" s="404">
        <f>E51+F51</f>
        <v>800</v>
      </c>
      <c r="H51" s="405">
        <v>1.5732520325203252</v>
      </c>
      <c r="I51" s="395">
        <f>E51*H51</f>
        <v>1258.60162601626</v>
      </c>
      <c r="J51" s="406"/>
      <c r="K51" s="407">
        <f>SUM(I51:J51)</f>
        <v>1258.60162601626</v>
      </c>
      <c r="L51" s="403"/>
      <c r="M51" s="408">
        <f>IF(D51&gt;C51,C51-D51,0)</f>
        <v>0</v>
      </c>
      <c r="N51" s="409">
        <f>IF(D51&lt;C51,C51-D51,0)</f>
        <v>184</v>
      </c>
      <c r="O51" s="418"/>
      <c r="P51" s="418"/>
      <c r="R51" s="410"/>
    </row>
    <row r="52" spans="1:18" ht="12.75" customHeight="1">
      <c r="A52" s="411" t="s">
        <v>266</v>
      </c>
      <c r="B52" s="412" t="s">
        <v>257</v>
      </c>
      <c r="C52" s="413">
        <v>110</v>
      </c>
      <c r="D52" s="414">
        <v>75</v>
      </c>
      <c r="E52" s="403">
        <f>IF(C52&gt;=0.9*D52,D52,C52+0.1*D52)</f>
        <v>75</v>
      </c>
      <c r="F52" s="432"/>
      <c r="G52" s="404">
        <f>E52+F52</f>
        <v>75</v>
      </c>
      <c r="H52" s="416">
        <v>1.7077272727272728</v>
      </c>
      <c r="I52" s="395">
        <f>E52*H52</f>
        <v>128.07954545454547</v>
      </c>
      <c r="J52" s="415"/>
      <c r="K52" s="407">
        <f>SUM(I52:J52)</f>
        <v>128.07954545454547</v>
      </c>
      <c r="L52" s="417"/>
      <c r="M52" s="408">
        <f>IF(D52&gt;C52,C52-D52,0)</f>
        <v>0</v>
      </c>
      <c r="N52" s="409">
        <f>IF(D52&lt;C52,C52-D52,0)</f>
        <v>35</v>
      </c>
      <c r="O52" s="418"/>
      <c r="P52" s="418"/>
      <c r="R52" s="410"/>
    </row>
    <row r="53" spans="1:18" ht="12.75" customHeight="1" thickBot="1">
      <c r="A53" s="433" t="s">
        <v>266</v>
      </c>
      <c r="B53" s="420" t="s">
        <v>258</v>
      </c>
      <c r="C53" s="401">
        <v>5875.5</v>
      </c>
      <c r="D53" s="402">
        <v>4959</v>
      </c>
      <c r="E53" s="403">
        <f>IF(C53&lt;D53,C53,D53)</f>
        <v>4959</v>
      </c>
      <c r="F53" s="432"/>
      <c r="G53" s="404">
        <f>E53+F53</f>
        <v>4959</v>
      </c>
      <c r="H53" s="405">
        <v>1.5851995574844695</v>
      </c>
      <c r="I53" s="395">
        <f>E53*H53</f>
        <v>7861.004605565484</v>
      </c>
      <c r="J53" s="415"/>
      <c r="K53" s="407">
        <f>SUM(I53:J53)</f>
        <v>7861.004605565484</v>
      </c>
      <c r="L53" s="417"/>
      <c r="M53" s="408">
        <f>IF(D53&gt;C53,C53-D53,0)</f>
        <v>0</v>
      </c>
      <c r="N53" s="409">
        <f>IF(D53&lt;C53,C53-D53,0)</f>
        <v>916.5</v>
      </c>
      <c r="O53" s="418"/>
      <c r="P53" s="418"/>
      <c r="R53" s="410"/>
    </row>
    <row r="54" spans="1:18" ht="12.75" customHeight="1" thickBot="1">
      <c r="A54" s="421" t="s">
        <v>266</v>
      </c>
      <c r="B54" s="422" t="s">
        <v>106</v>
      </c>
      <c r="C54" s="423">
        <v>9818</v>
      </c>
      <c r="D54" s="424">
        <v>8490</v>
      </c>
      <c r="E54" s="424">
        <f>SUM(E49:E53)</f>
        <v>8490</v>
      </c>
      <c r="F54" s="425">
        <f>SUM(F49:F53)</f>
        <v>0</v>
      </c>
      <c r="G54" s="426">
        <f>SUM(G49:G53)</f>
        <v>8490</v>
      </c>
      <c r="H54" s="425"/>
      <c r="I54" s="425">
        <f>SUM(I49:I53)</f>
        <v>13498.741456848627</v>
      </c>
      <c r="J54" s="425">
        <f>SUM(J49:J53)</f>
        <v>0</v>
      </c>
      <c r="K54" s="427">
        <f>SUM(K49:K53)</f>
        <v>13498.741456848627</v>
      </c>
      <c r="L54" s="428">
        <f>ROUND(K54*$N$155/$K$150,0)</f>
        <v>338962</v>
      </c>
      <c r="M54" s="429">
        <f>SUM(M49:M53)</f>
        <v>0</v>
      </c>
      <c r="N54" s="430">
        <f>SUM(N49:N53)</f>
        <v>1328</v>
      </c>
      <c r="O54" s="418"/>
      <c r="P54" s="418"/>
      <c r="R54" s="410"/>
    </row>
    <row r="55" spans="1:18" ht="12.75" customHeight="1">
      <c r="A55" s="435" t="s">
        <v>87</v>
      </c>
      <c r="B55" s="400" t="s">
        <v>254</v>
      </c>
      <c r="C55" s="401">
        <v>2490</v>
      </c>
      <c r="D55" s="402">
        <v>1978</v>
      </c>
      <c r="E55" s="403">
        <f>IF(C55&gt;=0.9*D55,D55,C55+0.1*D55)</f>
        <v>1978</v>
      </c>
      <c r="F55" s="395"/>
      <c r="G55" s="404">
        <f>E55+F55</f>
        <v>1978</v>
      </c>
      <c r="H55" s="405">
        <v>1.338706827309237</v>
      </c>
      <c r="I55" s="395">
        <f>E55*H55</f>
        <v>2647.962104417671</v>
      </c>
      <c r="J55" s="406"/>
      <c r="K55" s="407">
        <f>SUM(I55:J55)</f>
        <v>2647.962104417671</v>
      </c>
      <c r="L55" s="403"/>
      <c r="M55" s="408">
        <f>IF(D55&gt;C55,C55-D55,0)</f>
        <v>0</v>
      </c>
      <c r="N55" s="409">
        <f>IF(D55&lt;C55,C55-D55,0)</f>
        <v>512</v>
      </c>
      <c r="O55" s="418"/>
      <c r="P55" s="418"/>
      <c r="R55" s="410"/>
    </row>
    <row r="56" spans="1:18" ht="12.75" customHeight="1">
      <c r="A56" s="399" t="s">
        <v>87</v>
      </c>
      <c r="B56" s="400" t="s">
        <v>255</v>
      </c>
      <c r="C56" s="401">
        <v>96</v>
      </c>
      <c r="D56" s="402">
        <v>82</v>
      </c>
      <c r="E56" s="403">
        <f>IF(C56&gt;=0.9*D56,D56,C56+0.1*D56)</f>
        <v>82</v>
      </c>
      <c r="F56" s="395"/>
      <c r="G56" s="404">
        <f>E56+F56</f>
        <v>82</v>
      </c>
      <c r="H56" s="405">
        <v>1.2</v>
      </c>
      <c r="I56" s="395">
        <f>E56*H56</f>
        <v>98.39999999999999</v>
      </c>
      <c r="J56" s="406"/>
      <c r="K56" s="407">
        <f>SUM(I56:J56)</f>
        <v>98.39999999999999</v>
      </c>
      <c r="L56" s="403"/>
      <c r="M56" s="408">
        <f>IF(D56&gt;C56,C56-D56,0)</f>
        <v>0</v>
      </c>
      <c r="N56" s="409">
        <f>IF(D56&lt;C56,C56-D56,0)</f>
        <v>14</v>
      </c>
      <c r="O56" s="418"/>
      <c r="P56" s="418"/>
      <c r="R56" s="410"/>
    </row>
    <row r="57" spans="1:18" ht="12.75" customHeight="1">
      <c r="A57" s="399" t="s">
        <v>87</v>
      </c>
      <c r="B57" s="400" t="s">
        <v>256</v>
      </c>
      <c r="C57" s="401">
        <v>698</v>
      </c>
      <c r="D57" s="402">
        <v>618</v>
      </c>
      <c r="E57" s="403">
        <f>IF(C57&gt;=0.9*D57,D57,C57+0.1*D57)</f>
        <v>618</v>
      </c>
      <c r="F57" s="395"/>
      <c r="G57" s="404">
        <f>E57+F57</f>
        <v>618</v>
      </c>
      <c r="H57" s="405">
        <v>1.311246418338109</v>
      </c>
      <c r="I57" s="395">
        <f>E57*H57</f>
        <v>810.3502865329514</v>
      </c>
      <c r="J57" s="406"/>
      <c r="K57" s="407">
        <f>SUM(I57:J57)</f>
        <v>810.3502865329514</v>
      </c>
      <c r="L57" s="403"/>
      <c r="M57" s="408">
        <f>IF(D57&gt;C57,C57-D57,0)</f>
        <v>0</v>
      </c>
      <c r="N57" s="409">
        <f>IF(D57&lt;C57,C57-D57,0)</f>
        <v>80</v>
      </c>
      <c r="O57" s="418"/>
      <c r="P57" s="418"/>
      <c r="R57" s="410"/>
    </row>
    <row r="58" spans="1:18" ht="12.75" customHeight="1">
      <c r="A58" s="436" t="s">
        <v>267</v>
      </c>
      <c r="B58" s="412" t="s">
        <v>257</v>
      </c>
      <c r="C58" s="413">
        <v>43.5</v>
      </c>
      <c r="D58" s="414">
        <v>29</v>
      </c>
      <c r="E58" s="403">
        <f>IF(C58&gt;=0.9*D58,D58,C58+0.1*D58)</f>
        <v>29</v>
      </c>
      <c r="F58" s="432"/>
      <c r="G58" s="404">
        <f>E58+F58</f>
        <v>29</v>
      </c>
      <c r="H58" s="416">
        <v>1.3022988505747126</v>
      </c>
      <c r="I58" s="395">
        <f>E58*H58</f>
        <v>37.766666666666666</v>
      </c>
      <c r="J58" s="415"/>
      <c r="K58" s="407">
        <f>SUM(I58:J58)</f>
        <v>37.766666666666666</v>
      </c>
      <c r="L58" s="417"/>
      <c r="M58" s="408">
        <f>IF(D58&gt;C58,C58-D58,0)</f>
        <v>0</v>
      </c>
      <c r="N58" s="409">
        <f>IF(D58&lt;C58,C58-D58,0)</f>
        <v>14.5</v>
      </c>
      <c r="O58" s="418"/>
      <c r="P58" s="418"/>
      <c r="R58" s="410"/>
    </row>
    <row r="59" spans="1:18" ht="12.75" customHeight="1" thickBot="1">
      <c r="A59" s="419" t="s">
        <v>87</v>
      </c>
      <c r="B59" s="420" t="s">
        <v>258</v>
      </c>
      <c r="C59" s="401">
        <v>5197</v>
      </c>
      <c r="D59" s="402">
        <v>4808</v>
      </c>
      <c r="E59" s="403">
        <f>IF(C59&lt;D59,C59,D59)</f>
        <v>4808</v>
      </c>
      <c r="F59" s="432"/>
      <c r="G59" s="404">
        <f>E59+F59</f>
        <v>4808</v>
      </c>
      <c r="H59" s="405">
        <v>1.2809082162786223</v>
      </c>
      <c r="I59" s="395">
        <f>E59*H59</f>
        <v>6158.606703867616</v>
      </c>
      <c r="J59" s="415"/>
      <c r="K59" s="407">
        <f>SUM(I59:J59)</f>
        <v>6158.606703867616</v>
      </c>
      <c r="L59" s="417"/>
      <c r="M59" s="408">
        <f>IF(D59&gt;C59,C59-D59,0)</f>
        <v>0</v>
      </c>
      <c r="N59" s="409">
        <f>IF(D59&lt;C59,C59-D59,0)</f>
        <v>389</v>
      </c>
      <c r="O59" s="418"/>
      <c r="P59" s="418"/>
      <c r="R59" s="410"/>
    </row>
    <row r="60" spans="1:18" ht="12.75" customHeight="1" thickBot="1">
      <c r="A60" s="421" t="s">
        <v>87</v>
      </c>
      <c r="B60" s="422" t="s">
        <v>106</v>
      </c>
      <c r="C60" s="423">
        <v>8524.5</v>
      </c>
      <c r="D60" s="424">
        <v>7515</v>
      </c>
      <c r="E60" s="424">
        <f>SUM(E55:E59)</f>
        <v>7515</v>
      </c>
      <c r="F60" s="425">
        <f>SUM(F55:F59)</f>
        <v>0</v>
      </c>
      <c r="G60" s="426">
        <f>SUM(G55:G59)</f>
        <v>7515</v>
      </c>
      <c r="H60" s="425"/>
      <c r="I60" s="425">
        <f>SUM(I55:I59)</f>
        <v>9753.085761484905</v>
      </c>
      <c r="J60" s="425">
        <f>SUM(J55:J59)</f>
        <v>0</v>
      </c>
      <c r="K60" s="427">
        <f>SUM(K55:K59)</f>
        <v>9753.085761484905</v>
      </c>
      <c r="L60" s="428">
        <f>ROUND(K60*$N$155/$K$150,0)</f>
        <v>244906</v>
      </c>
      <c r="M60" s="429">
        <f>SUM(M55:M59)</f>
        <v>0</v>
      </c>
      <c r="N60" s="430">
        <f>SUM(N55:N59)</f>
        <v>1009.5</v>
      </c>
      <c r="O60" s="418"/>
      <c r="P60" s="418"/>
      <c r="R60" s="410"/>
    </row>
    <row r="61" spans="1:18" ht="12.75" customHeight="1">
      <c r="A61" s="431" t="s">
        <v>268</v>
      </c>
      <c r="B61" s="400" t="s">
        <v>254</v>
      </c>
      <c r="C61" s="401">
        <v>2418</v>
      </c>
      <c r="D61" s="414">
        <v>2296</v>
      </c>
      <c r="E61" s="403">
        <f>IF(C61&gt;=0.9*D61,D61,C61+0.1*D61)</f>
        <v>2296</v>
      </c>
      <c r="F61" s="395"/>
      <c r="G61" s="404">
        <f>E61+F61</f>
        <v>2296</v>
      </c>
      <c r="H61" s="405">
        <v>1.3927502067824649</v>
      </c>
      <c r="I61" s="395">
        <f>E61*H61</f>
        <v>3197.754474772539</v>
      </c>
      <c r="J61" s="406"/>
      <c r="K61" s="407">
        <f>SUM(I61:J61)</f>
        <v>3197.754474772539</v>
      </c>
      <c r="L61" s="403"/>
      <c r="M61" s="408">
        <f>IF(D61&gt;C61,C61-D61,0)</f>
        <v>0</v>
      </c>
      <c r="N61" s="409">
        <f>IF(D61&lt;C61,C61-D61,0)</f>
        <v>122</v>
      </c>
      <c r="O61" s="418"/>
      <c r="P61" s="418"/>
      <c r="R61" s="410"/>
    </row>
    <row r="62" spans="1:18" ht="12.75" customHeight="1">
      <c r="A62" s="390" t="s">
        <v>268</v>
      </c>
      <c r="B62" s="400" t="s">
        <v>255</v>
      </c>
      <c r="C62" s="401">
        <v>0</v>
      </c>
      <c r="D62" s="414">
        <v>2</v>
      </c>
      <c r="E62" s="403">
        <f>IF(C62&gt;=0.9*D62,D62,C62+0.1*D62)</f>
        <v>0.2</v>
      </c>
      <c r="F62" s="395"/>
      <c r="G62" s="404">
        <f>E62+F62</f>
        <v>0.2</v>
      </c>
      <c r="H62" s="405"/>
      <c r="I62" s="395">
        <f>E62*H62</f>
        <v>0</v>
      </c>
      <c r="J62" s="406"/>
      <c r="K62" s="407">
        <f>SUM(I62:J62)</f>
        <v>0</v>
      </c>
      <c r="L62" s="403"/>
      <c r="M62" s="408">
        <f>IF(D62&gt;C62,C62-D62,0)</f>
        <v>-2</v>
      </c>
      <c r="N62" s="409">
        <f>IF(D62&lt;C62,C62-D62,0)</f>
        <v>0</v>
      </c>
      <c r="O62" s="418"/>
      <c r="P62" s="418"/>
      <c r="R62" s="410"/>
    </row>
    <row r="63" spans="1:18" ht="12.75" customHeight="1">
      <c r="A63" s="390" t="s">
        <v>268</v>
      </c>
      <c r="B63" s="400" t="s">
        <v>256</v>
      </c>
      <c r="C63" s="401">
        <v>857</v>
      </c>
      <c r="D63" s="414">
        <v>723</v>
      </c>
      <c r="E63" s="403">
        <f>IF(C63&gt;=0.9*D63,D63,C63+0.1*D63)</f>
        <v>723</v>
      </c>
      <c r="F63" s="395"/>
      <c r="G63" s="404">
        <f>E63+F63</f>
        <v>723</v>
      </c>
      <c r="H63" s="405">
        <v>1.1310385064177362</v>
      </c>
      <c r="I63" s="395">
        <f>E63*H63</f>
        <v>817.7408401400232</v>
      </c>
      <c r="J63" s="406"/>
      <c r="K63" s="407">
        <f>SUM(I63:J63)</f>
        <v>817.7408401400232</v>
      </c>
      <c r="L63" s="403"/>
      <c r="M63" s="408">
        <f>IF(D63&gt;C63,C63-D63,0)</f>
        <v>0</v>
      </c>
      <c r="N63" s="409">
        <f>IF(D63&lt;C63,C63-D63,0)</f>
        <v>134</v>
      </c>
      <c r="O63" s="418"/>
      <c r="P63" s="418"/>
      <c r="R63" s="410"/>
    </row>
    <row r="64" spans="1:18" ht="12.75" customHeight="1">
      <c r="A64" s="411" t="s">
        <v>268</v>
      </c>
      <c r="B64" s="412" t="s">
        <v>257</v>
      </c>
      <c r="C64" s="413">
        <v>35.5</v>
      </c>
      <c r="D64" s="414">
        <v>40</v>
      </c>
      <c r="E64" s="403">
        <f>IF(C64&gt;=0.9*D64,D64,C64+0.1*D64)</f>
        <v>39.5</v>
      </c>
      <c r="F64" s="432"/>
      <c r="G64" s="404">
        <f>E64+F64</f>
        <v>39.5</v>
      </c>
      <c r="H64" s="416">
        <v>1.3774647887323943</v>
      </c>
      <c r="I64" s="395">
        <f>E64*H64</f>
        <v>54.40985915492958</v>
      </c>
      <c r="J64" s="415"/>
      <c r="K64" s="407">
        <f>SUM(I64:J64)</f>
        <v>54.40985915492958</v>
      </c>
      <c r="L64" s="417"/>
      <c r="M64" s="408">
        <f>IF(D64&gt;C64,C64-D64,0)</f>
        <v>-4.5</v>
      </c>
      <c r="N64" s="409">
        <f>IF(D64&lt;C64,C64-D64,0)</f>
        <v>0</v>
      </c>
      <c r="O64" s="418"/>
      <c r="P64" s="418"/>
      <c r="R64" s="410"/>
    </row>
    <row r="65" spans="1:18" ht="12.75" customHeight="1" thickBot="1">
      <c r="A65" s="433" t="s">
        <v>268</v>
      </c>
      <c r="B65" s="420" t="s">
        <v>258</v>
      </c>
      <c r="C65" s="401">
        <v>4011</v>
      </c>
      <c r="D65" s="402">
        <v>3691</v>
      </c>
      <c r="E65" s="403">
        <f>IF(C65&lt;D65,C65,D65)</f>
        <v>3691</v>
      </c>
      <c r="F65" s="432"/>
      <c r="G65" s="404">
        <f>E65+F65</f>
        <v>3691</v>
      </c>
      <c r="H65" s="405">
        <v>1.3476364996260284</v>
      </c>
      <c r="I65" s="395">
        <f>E65*H65</f>
        <v>4974.126320119671</v>
      </c>
      <c r="J65" s="415"/>
      <c r="K65" s="407">
        <f>SUM(I65:J65)</f>
        <v>4974.126320119671</v>
      </c>
      <c r="L65" s="417"/>
      <c r="M65" s="408">
        <f>IF(D65&gt;C65,C65-D65,0)</f>
        <v>0</v>
      </c>
      <c r="N65" s="409">
        <f>IF(D65&lt;C65,C65-D65,0)</f>
        <v>320</v>
      </c>
      <c r="O65" s="418"/>
      <c r="P65" s="418"/>
      <c r="R65" s="410"/>
    </row>
    <row r="66" spans="1:18" ht="12.75" customHeight="1" thickBot="1">
      <c r="A66" s="421" t="s">
        <v>268</v>
      </c>
      <c r="B66" s="422" t="s">
        <v>106</v>
      </c>
      <c r="C66" s="423">
        <v>7321.5</v>
      </c>
      <c r="D66" s="424">
        <v>6752</v>
      </c>
      <c r="E66" s="424">
        <f>SUM(E61:E65)</f>
        <v>6749.7</v>
      </c>
      <c r="F66" s="425">
        <f>SUM(F61:F65)</f>
        <v>0</v>
      </c>
      <c r="G66" s="426">
        <f>SUM(G61:G65)</f>
        <v>6749.7</v>
      </c>
      <c r="H66" s="425"/>
      <c r="I66" s="425">
        <f>SUM(I61:I65)</f>
        <v>9044.031494187162</v>
      </c>
      <c r="J66" s="425">
        <f>SUM(J61:J65)</f>
        <v>0</v>
      </c>
      <c r="K66" s="427">
        <f>SUM(K61:K65)</f>
        <v>9044.031494187162</v>
      </c>
      <c r="L66" s="428">
        <f>ROUND(K66*$N$155/$K$150,0)</f>
        <v>227101</v>
      </c>
      <c r="M66" s="429">
        <f>SUM(M61:M65)</f>
        <v>-6.5</v>
      </c>
      <c r="N66" s="430">
        <f>SUM(N61:N65)</f>
        <v>576</v>
      </c>
      <c r="O66" s="418"/>
      <c r="P66" s="418"/>
      <c r="R66" s="410"/>
    </row>
    <row r="67" spans="1:18" ht="12.75" customHeight="1">
      <c r="A67" s="437" t="s">
        <v>269</v>
      </c>
      <c r="B67" s="400" t="s">
        <v>254</v>
      </c>
      <c r="C67" s="401">
        <v>5591</v>
      </c>
      <c r="D67" s="402">
        <v>6166</v>
      </c>
      <c r="E67" s="403">
        <f>IF(C67&gt;=0.9*D67,D67,C67+0.1*D67)</f>
        <v>6166</v>
      </c>
      <c r="F67" s="395"/>
      <c r="G67" s="404">
        <f>E67+F67</f>
        <v>6166</v>
      </c>
      <c r="H67" s="405">
        <v>1.9462314433911643</v>
      </c>
      <c r="I67" s="395">
        <f>E67*H67</f>
        <v>12000.46307994992</v>
      </c>
      <c r="J67" s="406"/>
      <c r="K67" s="407">
        <f>SUM(I67:J67)</f>
        <v>12000.46307994992</v>
      </c>
      <c r="L67" s="403"/>
      <c r="M67" s="408">
        <f>IF(D67&gt;C67,C67-D67,0)</f>
        <v>-575</v>
      </c>
      <c r="N67" s="409">
        <f>IF(D67&lt;C67,C67-D67,0)</f>
        <v>0</v>
      </c>
      <c r="O67" s="418"/>
      <c r="P67" s="418"/>
      <c r="R67" s="410"/>
    </row>
    <row r="68" spans="1:18" ht="12.75" customHeight="1">
      <c r="A68" s="438" t="s">
        <v>269</v>
      </c>
      <c r="B68" s="400" t="s">
        <v>255</v>
      </c>
      <c r="C68" s="401">
        <v>0</v>
      </c>
      <c r="D68" s="402">
        <v>0</v>
      </c>
      <c r="E68" s="403">
        <f>IF(C68&gt;=0.9*D68,D68,C68+0.1*D68)</f>
        <v>0</v>
      </c>
      <c r="F68" s="395"/>
      <c r="G68" s="404">
        <f>E68+F68</f>
        <v>0</v>
      </c>
      <c r="H68" s="405"/>
      <c r="I68" s="395">
        <f>E68*H68</f>
        <v>0</v>
      </c>
      <c r="J68" s="406"/>
      <c r="K68" s="407">
        <f>SUM(I68:J68)</f>
        <v>0</v>
      </c>
      <c r="L68" s="403"/>
      <c r="M68" s="408">
        <f>IF(D68&gt;C68,C68-D68,0)</f>
        <v>0</v>
      </c>
      <c r="N68" s="409">
        <f>IF(D68&lt;C68,C68-D68,0)</f>
        <v>0</v>
      </c>
      <c r="O68" s="418"/>
      <c r="P68" s="418"/>
      <c r="R68" s="410"/>
    </row>
    <row r="69" spans="1:18" ht="12.75" customHeight="1">
      <c r="A69" s="438" t="s">
        <v>269</v>
      </c>
      <c r="B69" s="400" t="s">
        <v>256</v>
      </c>
      <c r="C69" s="401">
        <v>2467.5</v>
      </c>
      <c r="D69" s="414">
        <v>2321</v>
      </c>
      <c r="E69" s="403">
        <f>IF(C69&gt;=0.9*D69,D69,C69+0.1*D69)</f>
        <v>2321</v>
      </c>
      <c r="F69" s="395"/>
      <c r="G69" s="404">
        <f>E69+F69</f>
        <v>2321</v>
      </c>
      <c r="H69" s="405">
        <v>1.8422168186423507</v>
      </c>
      <c r="I69" s="395">
        <f>E69*H69</f>
        <v>4275.785236068896</v>
      </c>
      <c r="J69" s="406"/>
      <c r="K69" s="407">
        <f>SUM(I69:J69)</f>
        <v>4275.785236068896</v>
      </c>
      <c r="L69" s="403"/>
      <c r="M69" s="408">
        <f>IF(D69&gt;C69,C69-D69,0)</f>
        <v>0</v>
      </c>
      <c r="N69" s="409">
        <f>IF(D69&lt;C69,C69-D69,0)</f>
        <v>146.5</v>
      </c>
      <c r="O69" s="418"/>
      <c r="P69" s="418"/>
      <c r="R69" s="410"/>
    </row>
    <row r="70" spans="1:18" ht="12.75" customHeight="1">
      <c r="A70" s="411" t="s">
        <v>269</v>
      </c>
      <c r="B70" s="412" t="s">
        <v>257</v>
      </c>
      <c r="C70" s="413">
        <v>434.5</v>
      </c>
      <c r="D70" s="414">
        <v>512</v>
      </c>
      <c r="E70" s="403">
        <f>IF(C70&gt;=0.9*D70,D70,C70+0.1*D70)</f>
        <v>485.7</v>
      </c>
      <c r="F70" s="432"/>
      <c r="G70" s="404">
        <f>E70+F70</f>
        <v>485.7</v>
      </c>
      <c r="H70" s="416">
        <v>1.9012197928653627</v>
      </c>
      <c r="I70" s="395">
        <f>E70*H70</f>
        <v>923.4224533947066</v>
      </c>
      <c r="J70" s="415"/>
      <c r="K70" s="407">
        <f>SUM(I70:J70)</f>
        <v>923.4224533947066</v>
      </c>
      <c r="L70" s="417"/>
      <c r="M70" s="408">
        <f>IF(D70&gt;C70,C70-D70,0)</f>
        <v>-77.5</v>
      </c>
      <c r="N70" s="409">
        <f>IF(D70&lt;C70,C70-D70,0)</f>
        <v>0</v>
      </c>
      <c r="O70" s="418"/>
      <c r="P70" s="418"/>
      <c r="R70" s="410"/>
    </row>
    <row r="71" spans="1:18" ht="12.75" customHeight="1" thickBot="1">
      <c r="A71" s="439" t="s">
        <v>269</v>
      </c>
      <c r="B71" s="420" t="s">
        <v>258</v>
      </c>
      <c r="C71" s="401">
        <v>12064</v>
      </c>
      <c r="D71" s="402">
        <v>11462</v>
      </c>
      <c r="E71" s="403">
        <f>IF(C71&lt;D71,C71,D71)</f>
        <v>11462</v>
      </c>
      <c r="F71" s="432"/>
      <c r="G71" s="404">
        <f>E71+F71</f>
        <v>11462</v>
      </c>
      <c r="H71" s="405">
        <v>1.873379476127321</v>
      </c>
      <c r="I71" s="395">
        <f>E71*H71</f>
        <v>21472.675555371352</v>
      </c>
      <c r="J71" s="415"/>
      <c r="K71" s="407">
        <f>SUM(I71:J71)</f>
        <v>21472.675555371352</v>
      </c>
      <c r="L71" s="417"/>
      <c r="M71" s="408">
        <f>IF(D71&gt;C71,C71-D71,0)</f>
        <v>0</v>
      </c>
      <c r="N71" s="409">
        <f>IF(D71&lt;C71,C71-D71,0)</f>
        <v>602</v>
      </c>
      <c r="R71" s="410"/>
    </row>
    <row r="72" spans="1:18" ht="12.75" customHeight="1" thickBot="1">
      <c r="A72" s="421" t="s">
        <v>269</v>
      </c>
      <c r="B72" s="422" t="s">
        <v>106</v>
      </c>
      <c r="C72" s="423">
        <v>20557</v>
      </c>
      <c r="D72" s="424">
        <v>20461</v>
      </c>
      <c r="E72" s="424">
        <f>SUM(E67:E71)</f>
        <v>20434.7</v>
      </c>
      <c r="F72" s="425">
        <f>SUM(F67:F71)</f>
        <v>0</v>
      </c>
      <c r="G72" s="426">
        <f>SUM(G67:G71)</f>
        <v>20434.7</v>
      </c>
      <c r="H72" s="425"/>
      <c r="I72" s="425">
        <f>SUM(I67:I71)</f>
        <v>38672.34632478487</v>
      </c>
      <c r="J72" s="425">
        <f>SUM(J67:J71)</f>
        <v>0</v>
      </c>
      <c r="K72" s="427">
        <f>SUM(K67:K71)</f>
        <v>38672.34632478487</v>
      </c>
      <c r="L72" s="428">
        <f>ROUND(K72*$N$155/$K$150,0)</f>
        <v>971086</v>
      </c>
      <c r="M72" s="429">
        <f>SUM(M67:M71)</f>
        <v>-652.5</v>
      </c>
      <c r="N72" s="430">
        <f>SUM(N67:N71)</f>
        <v>748.5</v>
      </c>
      <c r="R72" s="410"/>
    </row>
    <row r="73" spans="1:18" ht="12.75" customHeight="1">
      <c r="A73" s="431" t="s">
        <v>270</v>
      </c>
      <c r="B73" s="400" t="s">
        <v>254</v>
      </c>
      <c r="C73" s="401">
        <v>1353</v>
      </c>
      <c r="D73" s="402">
        <v>1070</v>
      </c>
      <c r="E73" s="403">
        <f>IF(C73&gt;=0.9*D73,D73,C73+0.1*D73)</f>
        <v>1070</v>
      </c>
      <c r="F73" s="395"/>
      <c r="G73" s="404">
        <f>E73+F73</f>
        <v>1070</v>
      </c>
      <c r="H73" s="405">
        <v>2.763843311160384</v>
      </c>
      <c r="I73" s="395">
        <f>E73*H73</f>
        <v>2957.312342941611</v>
      </c>
      <c r="J73" s="406"/>
      <c r="K73" s="407">
        <f>SUM(I73:J73)</f>
        <v>2957.312342941611</v>
      </c>
      <c r="L73" s="403"/>
      <c r="M73" s="408">
        <f>IF(D73&gt;C73,C73-D73,0)</f>
        <v>0</v>
      </c>
      <c r="N73" s="409">
        <f>IF(D73&lt;C73,C73-D73,0)</f>
        <v>283</v>
      </c>
      <c r="R73" s="410"/>
    </row>
    <row r="74" spans="1:18" ht="12.75" customHeight="1">
      <c r="A74" s="390" t="s">
        <v>270</v>
      </c>
      <c r="B74" s="400" t="s">
        <v>255</v>
      </c>
      <c r="C74" s="401">
        <v>0</v>
      </c>
      <c r="D74" s="402">
        <v>0</v>
      </c>
      <c r="E74" s="403">
        <f>IF(C74&gt;=0.9*D74,D74,C74+0.1*D74)</f>
        <v>0</v>
      </c>
      <c r="F74" s="395"/>
      <c r="G74" s="404">
        <f>E74+F74</f>
        <v>0</v>
      </c>
      <c r="H74" s="405"/>
      <c r="I74" s="395">
        <f>E74*H74</f>
        <v>0</v>
      </c>
      <c r="J74" s="406"/>
      <c r="K74" s="407">
        <f>SUM(I74:J74)</f>
        <v>0</v>
      </c>
      <c r="L74" s="403"/>
      <c r="M74" s="408">
        <f>IF(D74&gt;C74,C74-D74,0)</f>
        <v>0</v>
      </c>
      <c r="N74" s="409">
        <f>IF(D74&lt;C74,C74-D74,0)</f>
        <v>0</v>
      </c>
      <c r="R74" s="410"/>
    </row>
    <row r="75" spans="1:18" ht="12.75" customHeight="1">
      <c r="A75" s="390" t="s">
        <v>270</v>
      </c>
      <c r="B75" s="400" t="s">
        <v>256</v>
      </c>
      <c r="C75" s="401">
        <v>341.5</v>
      </c>
      <c r="D75" s="402">
        <v>386</v>
      </c>
      <c r="E75" s="403">
        <f>IF(C75&gt;=0.9*D75,D75,C75+0.1*D75)</f>
        <v>380.1</v>
      </c>
      <c r="F75" s="395"/>
      <c r="G75" s="404">
        <f>E75+F75</f>
        <v>380.1</v>
      </c>
      <c r="H75" s="405">
        <v>2.7093704245973647</v>
      </c>
      <c r="I75" s="395">
        <f>E75*H75</f>
        <v>1029.8316983894583</v>
      </c>
      <c r="J75" s="406"/>
      <c r="K75" s="407">
        <f>SUM(I75:J75)</f>
        <v>1029.8316983894583</v>
      </c>
      <c r="L75" s="403"/>
      <c r="M75" s="408">
        <f>IF(D75&gt;C75,C75-D75,0)</f>
        <v>-44.5</v>
      </c>
      <c r="N75" s="409">
        <f>IF(D75&lt;C75,C75-D75,0)</f>
        <v>0</v>
      </c>
      <c r="R75" s="410"/>
    </row>
    <row r="76" spans="1:18" ht="12.75" customHeight="1">
      <c r="A76" s="411" t="s">
        <v>270</v>
      </c>
      <c r="B76" s="412" t="s">
        <v>257</v>
      </c>
      <c r="C76" s="413">
        <v>153</v>
      </c>
      <c r="D76" s="414">
        <v>168</v>
      </c>
      <c r="E76" s="403">
        <f>IF(C76&gt;=0.9*D76,D76,C76+0.1*D76)</f>
        <v>168</v>
      </c>
      <c r="F76" s="432"/>
      <c r="G76" s="404">
        <f>E76+F76</f>
        <v>168</v>
      </c>
      <c r="H76" s="416">
        <v>2.77843137254902</v>
      </c>
      <c r="I76" s="395">
        <f>E76*H76</f>
        <v>466.7764705882353</v>
      </c>
      <c r="J76" s="415"/>
      <c r="K76" s="407">
        <f>SUM(I76:J76)</f>
        <v>466.7764705882353</v>
      </c>
      <c r="L76" s="417"/>
      <c r="M76" s="408">
        <f>IF(D76&gt;C76,C76-D76,0)</f>
        <v>-15</v>
      </c>
      <c r="N76" s="409">
        <f>IF(D76&lt;C76,C76-D76,0)</f>
        <v>0</v>
      </c>
      <c r="R76" s="410"/>
    </row>
    <row r="77" spans="1:18" ht="12.75" customHeight="1" thickBot="1">
      <c r="A77" s="433" t="s">
        <v>270</v>
      </c>
      <c r="B77" s="420" t="s">
        <v>258</v>
      </c>
      <c r="C77" s="401">
        <v>1929</v>
      </c>
      <c r="D77" s="402">
        <v>1740</v>
      </c>
      <c r="E77" s="403">
        <f>IF(C77&lt;D77,C77,D77)</f>
        <v>1740</v>
      </c>
      <c r="F77" s="432"/>
      <c r="G77" s="404">
        <f>E77+F77</f>
        <v>1740</v>
      </c>
      <c r="H77" s="405">
        <v>2.732208398133748</v>
      </c>
      <c r="I77" s="395">
        <f>E77*H77</f>
        <v>4754.042612752722</v>
      </c>
      <c r="J77" s="415"/>
      <c r="K77" s="407">
        <f>SUM(I77:J77)</f>
        <v>4754.042612752722</v>
      </c>
      <c r="L77" s="417"/>
      <c r="M77" s="408">
        <f>IF(D77&gt;C77,C77-D77,0)</f>
        <v>0</v>
      </c>
      <c r="N77" s="409">
        <f>IF(D77&lt;C77,C77-D77,0)</f>
        <v>189</v>
      </c>
      <c r="R77" s="410"/>
    </row>
    <row r="78" spans="1:18" ht="12.75" customHeight="1" thickBot="1">
      <c r="A78" s="421" t="s">
        <v>270</v>
      </c>
      <c r="B78" s="422" t="s">
        <v>106</v>
      </c>
      <c r="C78" s="423">
        <v>3776.5</v>
      </c>
      <c r="D78" s="424">
        <v>3364</v>
      </c>
      <c r="E78" s="424">
        <f>SUM(E73:E77)</f>
        <v>3358.1</v>
      </c>
      <c r="F78" s="425">
        <f>SUM(F73:F77)</f>
        <v>0</v>
      </c>
      <c r="G78" s="426">
        <f>SUM(G73:G77)</f>
        <v>3358.1</v>
      </c>
      <c r="H78" s="425"/>
      <c r="I78" s="425">
        <f>SUM(I73:I77)</f>
        <v>9207.963124672027</v>
      </c>
      <c r="J78" s="425">
        <f>SUM(J73:J77)</f>
        <v>0</v>
      </c>
      <c r="K78" s="427">
        <f>SUM(K73:K77)</f>
        <v>9207.963124672027</v>
      </c>
      <c r="L78" s="428">
        <f>ROUND(K78*$N$155/$K$150,0)</f>
        <v>231218</v>
      </c>
      <c r="M78" s="429">
        <f>SUM(M73:M77)</f>
        <v>-59.5</v>
      </c>
      <c r="N78" s="430">
        <f>SUM(N73:N77)</f>
        <v>472</v>
      </c>
      <c r="R78" s="410"/>
    </row>
    <row r="79" spans="1:18" ht="12.75" customHeight="1">
      <c r="A79" s="431" t="s">
        <v>271</v>
      </c>
      <c r="B79" s="400" t="s">
        <v>254</v>
      </c>
      <c r="C79" s="401">
        <v>4453.5</v>
      </c>
      <c r="D79" s="402">
        <v>3757</v>
      </c>
      <c r="E79" s="403">
        <f>IF(C79&gt;=0.9*D79,D79,C79+0.1*D79)</f>
        <v>3757</v>
      </c>
      <c r="F79" s="395"/>
      <c r="G79" s="404">
        <f>E79+F79</f>
        <v>3757</v>
      </c>
      <c r="H79" s="405">
        <v>1.5642999887728752</v>
      </c>
      <c r="I79" s="395">
        <f>E79*H79</f>
        <v>5877.075057819692</v>
      </c>
      <c r="J79" s="406"/>
      <c r="K79" s="407">
        <f>SUM(I79:J79)</f>
        <v>5877.075057819692</v>
      </c>
      <c r="L79" s="403"/>
      <c r="M79" s="408">
        <f>IF(D79&gt;C79,C79-D79,0)</f>
        <v>0</v>
      </c>
      <c r="N79" s="409">
        <f>IF(D79&lt;C79,C79-D79,0)</f>
        <v>696.5</v>
      </c>
      <c r="R79" s="410"/>
    </row>
    <row r="80" spans="1:18" ht="12.75" customHeight="1">
      <c r="A80" s="390" t="s">
        <v>271</v>
      </c>
      <c r="B80" s="400" t="s">
        <v>255</v>
      </c>
      <c r="C80" s="401">
        <v>281.5</v>
      </c>
      <c r="D80" s="402">
        <v>300</v>
      </c>
      <c r="E80" s="403">
        <f>IF(C80&gt;=0.9*D80,D80,C80+0.1*D80)</f>
        <v>300</v>
      </c>
      <c r="F80" s="395"/>
      <c r="G80" s="404">
        <f>E80+F80</f>
        <v>300</v>
      </c>
      <c r="H80" s="405">
        <v>1.199289520426288</v>
      </c>
      <c r="I80" s="395">
        <f>E80*H80</f>
        <v>359.7868561278864</v>
      </c>
      <c r="J80" s="406"/>
      <c r="K80" s="407">
        <f>SUM(I80:J80)</f>
        <v>359.7868561278864</v>
      </c>
      <c r="L80" s="403"/>
      <c r="M80" s="408">
        <f>IF(D80&gt;C80,C80-D80,0)</f>
        <v>-18.5</v>
      </c>
      <c r="N80" s="409">
        <f>IF(D80&lt;C80,C80-D80,0)</f>
        <v>0</v>
      </c>
      <c r="R80" s="410"/>
    </row>
    <row r="81" spans="1:18" ht="12.75" customHeight="1">
      <c r="A81" s="390" t="s">
        <v>271</v>
      </c>
      <c r="B81" s="400" t="s">
        <v>256</v>
      </c>
      <c r="C81" s="401">
        <v>1349.5</v>
      </c>
      <c r="D81" s="402">
        <v>1174</v>
      </c>
      <c r="E81" s="403">
        <f>IF(C81&gt;=0.9*D81,D81,C81+0.1*D81)</f>
        <v>1174</v>
      </c>
      <c r="F81" s="395"/>
      <c r="G81" s="404">
        <f>E81+F81</f>
        <v>1174</v>
      </c>
      <c r="H81" s="405">
        <v>1.4356650611337534</v>
      </c>
      <c r="I81" s="395">
        <f>E81*H81</f>
        <v>1685.4707817710264</v>
      </c>
      <c r="J81" s="406"/>
      <c r="K81" s="407">
        <f>SUM(I81:J81)</f>
        <v>1685.4707817710264</v>
      </c>
      <c r="L81" s="403"/>
      <c r="M81" s="408">
        <f>IF(D81&gt;C81,C81-D81,0)</f>
        <v>0</v>
      </c>
      <c r="N81" s="409">
        <f>IF(D81&lt;C81,C81-D81,0)</f>
        <v>175.5</v>
      </c>
      <c r="R81" s="410"/>
    </row>
    <row r="82" spans="1:18" ht="12.75" customHeight="1">
      <c r="A82" s="411" t="s">
        <v>271</v>
      </c>
      <c r="B82" s="412" t="s">
        <v>257</v>
      </c>
      <c r="C82" s="413">
        <v>167</v>
      </c>
      <c r="D82" s="414">
        <v>169</v>
      </c>
      <c r="E82" s="403">
        <f>IF(C82&gt;=0.9*D82,D82,C82+0.1*D82)</f>
        <v>169</v>
      </c>
      <c r="F82" s="432"/>
      <c r="G82" s="404">
        <f>E82+F82</f>
        <v>169</v>
      </c>
      <c r="H82" s="416">
        <v>1.4488023952095808</v>
      </c>
      <c r="I82" s="395">
        <f>E82*H82</f>
        <v>244.84760479041915</v>
      </c>
      <c r="J82" s="415"/>
      <c r="K82" s="407">
        <f>SUM(I82:J82)</f>
        <v>244.84760479041915</v>
      </c>
      <c r="L82" s="417"/>
      <c r="M82" s="408">
        <f>IF(D82&gt;C82,C82-D82,0)</f>
        <v>-2</v>
      </c>
      <c r="N82" s="409">
        <f>IF(D82&lt;C82,C82-D82,0)</f>
        <v>0</v>
      </c>
      <c r="R82" s="410"/>
    </row>
    <row r="83" spans="1:18" ht="12.75" customHeight="1" thickBot="1">
      <c r="A83" s="433" t="s">
        <v>271</v>
      </c>
      <c r="B83" s="420" t="s">
        <v>258</v>
      </c>
      <c r="C83" s="401">
        <v>8549.5</v>
      </c>
      <c r="D83" s="402">
        <v>8204</v>
      </c>
      <c r="E83" s="403">
        <f>IF(C83&lt;D83,C83,D83)</f>
        <v>8204</v>
      </c>
      <c r="F83" s="432"/>
      <c r="G83" s="404">
        <f>E83+F83</f>
        <v>8204</v>
      </c>
      <c r="H83" s="405">
        <v>1.4231686063512485</v>
      </c>
      <c r="I83" s="395">
        <f>E83*H83</f>
        <v>11675.675246505643</v>
      </c>
      <c r="J83" s="415"/>
      <c r="K83" s="407">
        <f>SUM(I83:J83)</f>
        <v>11675.675246505643</v>
      </c>
      <c r="L83" s="417"/>
      <c r="M83" s="408">
        <f>IF(D83&gt;C83,C83-D83,0)</f>
        <v>0</v>
      </c>
      <c r="N83" s="409">
        <f>IF(D83&lt;C83,C83-D83,0)</f>
        <v>345.5</v>
      </c>
      <c r="R83" s="410"/>
    </row>
    <row r="84" spans="1:18" ht="12.75" customHeight="1" thickBot="1">
      <c r="A84" s="421" t="s">
        <v>271</v>
      </c>
      <c r="B84" s="422" t="s">
        <v>106</v>
      </c>
      <c r="C84" s="423">
        <v>14801</v>
      </c>
      <c r="D84" s="424">
        <v>13604</v>
      </c>
      <c r="E84" s="424">
        <f>SUM(E79:E83)</f>
        <v>13604</v>
      </c>
      <c r="F84" s="425">
        <f>SUM(F79:F83)</f>
        <v>0</v>
      </c>
      <c r="G84" s="426">
        <f>SUM(G79:G83)</f>
        <v>13604</v>
      </c>
      <c r="H84" s="425"/>
      <c r="I84" s="425">
        <f>SUM(I79:I83)</f>
        <v>19842.855547014668</v>
      </c>
      <c r="J84" s="425">
        <f>SUM(J79:J83)</f>
        <v>0</v>
      </c>
      <c r="K84" s="427">
        <f>SUM(K79:K83)</f>
        <v>19842.855547014668</v>
      </c>
      <c r="L84" s="428">
        <f>ROUND(K84*$N$155/$K$150,0)</f>
        <v>498266</v>
      </c>
      <c r="M84" s="429">
        <f>SUM(M79:M83)</f>
        <v>-20.5</v>
      </c>
      <c r="N84" s="430">
        <f>SUM(N79:N83)</f>
        <v>1217.5</v>
      </c>
      <c r="R84" s="410"/>
    </row>
    <row r="85" spans="1:18" ht="12.75" customHeight="1">
      <c r="A85" s="434" t="s">
        <v>272</v>
      </c>
      <c r="B85" s="400" t="s">
        <v>254</v>
      </c>
      <c r="C85" s="401">
        <v>2518</v>
      </c>
      <c r="D85" s="402">
        <v>2356</v>
      </c>
      <c r="E85" s="403">
        <f>IF(C85&gt;=0.9*D85,D85,C85+0.1*D85)</f>
        <v>2356</v>
      </c>
      <c r="F85" s="395"/>
      <c r="G85" s="404">
        <f>E85+F85</f>
        <v>2356</v>
      </c>
      <c r="H85" s="405">
        <v>1.526469420174742</v>
      </c>
      <c r="I85" s="395">
        <f>E85*H85</f>
        <v>3596.361953931692</v>
      </c>
      <c r="J85" s="406"/>
      <c r="K85" s="407">
        <f>SUM(I85:J85)</f>
        <v>3596.361953931692</v>
      </c>
      <c r="L85" s="403"/>
      <c r="M85" s="408">
        <f>IF(D85&gt;C85,C85-D85,0)</f>
        <v>0</v>
      </c>
      <c r="N85" s="409">
        <f>IF(D85&lt;C85,C85-D85,0)</f>
        <v>162</v>
      </c>
      <c r="R85" s="410"/>
    </row>
    <row r="86" spans="1:18" ht="12.75" customHeight="1">
      <c r="A86" s="399" t="s">
        <v>272</v>
      </c>
      <c r="B86" s="400" t="s">
        <v>255</v>
      </c>
      <c r="C86" s="401">
        <v>68</v>
      </c>
      <c r="D86" s="402">
        <v>68</v>
      </c>
      <c r="E86" s="403">
        <f>IF(C86&gt;=0.9*D86,D86,C86+0.1*D86)</f>
        <v>68</v>
      </c>
      <c r="F86" s="395"/>
      <c r="G86" s="404">
        <f>E86+F86</f>
        <v>68</v>
      </c>
      <c r="H86" s="405">
        <v>1.2</v>
      </c>
      <c r="I86" s="395">
        <f>E86*H86</f>
        <v>81.6</v>
      </c>
      <c r="J86" s="406"/>
      <c r="K86" s="407">
        <f>SUM(I86:J86)</f>
        <v>81.6</v>
      </c>
      <c r="L86" s="403"/>
      <c r="M86" s="408">
        <f>IF(D86&gt;C86,C86-D86,0)</f>
        <v>0</v>
      </c>
      <c r="N86" s="409">
        <f>IF(D86&lt;C86,C86-D86,0)</f>
        <v>0</v>
      </c>
      <c r="R86" s="410"/>
    </row>
    <row r="87" spans="1:18" ht="12.75" customHeight="1">
      <c r="A87" s="399" t="s">
        <v>272</v>
      </c>
      <c r="B87" s="400" t="s">
        <v>256</v>
      </c>
      <c r="C87" s="401">
        <v>794</v>
      </c>
      <c r="D87" s="402">
        <v>719</v>
      </c>
      <c r="E87" s="403">
        <f>IF(C87&gt;=0.9*D87,D87,C87+0.1*D87)</f>
        <v>719</v>
      </c>
      <c r="F87" s="395"/>
      <c r="G87" s="404">
        <f>E87+F87</f>
        <v>719</v>
      </c>
      <c r="H87" s="405">
        <v>1.4862468513853904</v>
      </c>
      <c r="I87" s="395">
        <f>E87*H87</f>
        <v>1068.6114861460958</v>
      </c>
      <c r="J87" s="406"/>
      <c r="K87" s="407">
        <f>SUM(I87:J87)</f>
        <v>1068.6114861460958</v>
      </c>
      <c r="L87" s="403"/>
      <c r="M87" s="408">
        <f>IF(D87&gt;C87,C87-D87,0)</f>
        <v>0</v>
      </c>
      <c r="N87" s="409">
        <f>IF(D87&lt;C87,C87-D87,0)</f>
        <v>75</v>
      </c>
      <c r="R87" s="410"/>
    </row>
    <row r="88" spans="1:18" ht="12.75" customHeight="1">
      <c r="A88" s="411" t="s">
        <v>272</v>
      </c>
      <c r="B88" s="412" t="s">
        <v>257</v>
      </c>
      <c r="C88" s="413">
        <v>61</v>
      </c>
      <c r="D88" s="414">
        <v>77</v>
      </c>
      <c r="E88" s="403">
        <f>IF(C88&gt;=0.9*D88,D88,C88+0.1*D88)</f>
        <v>68.7</v>
      </c>
      <c r="F88" s="432"/>
      <c r="G88" s="404">
        <f>E88+F88</f>
        <v>68.7</v>
      </c>
      <c r="H88" s="416">
        <v>1.6073770491803279</v>
      </c>
      <c r="I88" s="395">
        <f>E88*H88</f>
        <v>110.42680327868852</v>
      </c>
      <c r="J88" s="415"/>
      <c r="K88" s="407">
        <f>SUM(I88:J88)</f>
        <v>110.42680327868852</v>
      </c>
      <c r="L88" s="417"/>
      <c r="M88" s="408">
        <f>IF(D88&gt;C88,C88-D88,0)</f>
        <v>-16</v>
      </c>
      <c r="N88" s="409">
        <f>IF(D88&lt;C88,C88-D88,0)</f>
        <v>0</v>
      </c>
      <c r="R88" s="410"/>
    </row>
    <row r="89" spans="1:18" ht="12.75" customHeight="1" thickBot="1">
      <c r="A89" s="419" t="s">
        <v>272</v>
      </c>
      <c r="B89" s="420" t="s">
        <v>258</v>
      </c>
      <c r="C89" s="401">
        <v>4626</v>
      </c>
      <c r="D89" s="402">
        <v>4778</v>
      </c>
      <c r="E89" s="403">
        <f>IF(C89&lt;D89,C89,D89)</f>
        <v>4626</v>
      </c>
      <c r="F89" s="432"/>
      <c r="G89" s="404">
        <f>E89+F89</f>
        <v>4626</v>
      </c>
      <c r="H89" s="405">
        <v>1.4544941634241244</v>
      </c>
      <c r="I89" s="395">
        <f>E89*H89</f>
        <v>6728.49</v>
      </c>
      <c r="J89" s="415"/>
      <c r="K89" s="407">
        <f>SUM(I89:J89)</f>
        <v>6728.49</v>
      </c>
      <c r="L89" s="417"/>
      <c r="M89" s="408">
        <f>IF(D89&gt;C89,C89-D89,0)</f>
        <v>-152</v>
      </c>
      <c r="N89" s="409">
        <f>IF(D89&lt;C89,C89-D89,0)</f>
        <v>0</v>
      </c>
      <c r="R89" s="410"/>
    </row>
    <row r="90" spans="1:18" ht="12.75" customHeight="1" thickBot="1">
      <c r="A90" s="421" t="s">
        <v>272</v>
      </c>
      <c r="B90" s="422" t="s">
        <v>106</v>
      </c>
      <c r="C90" s="423">
        <v>8067</v>
      </c>
      <c r="D90" s="424">
        <v>7998</v>
      </c>
      <c r="E90" s="424">
        <f>SUM(E85:E89)</f>
        <v>7837.7</v>
      </c>
      <c r="F90" s="425">
        <f>SUM(F85:F89)</f>
        <v>0</v>
      </c>
      <c r="G90" s="426">
        <f>SUM(G85:G89)</f>
        <v>7837.7</v>
      </c>
      <c r="H90" s="425"/>
      <c r="I90" s="425">
        <f>SUM(I85:I89)</f>
        <v>11585.490243356475</v>
      </c>
      <c r="J90" s="425">
        <f>SUM(J85:J89)</f>
        <v>0</v>
      </c>
      <c r="K90" s="427">
        <f>SUM(K85:K89)</f>
        <v>11585.490243356475</v>
      </c>
      <c r="L90" s="428">
        <f>ROUND(K90*$N$155/$K$150,0)</f>
        <v>290919</v>
      </c>
      <c r="M90" s="429">
        <f>SUM(M85:M89)</f>
        <v>-168</v>
      </c>
      <c r="N90" s="430">
        <f>SUM(N85:N89)</f>
        <v>237</v>
      </c>
      <c r="R90" s="410"/>
    </row>
    <row r="91" spans="1:18" ht="12.75" customHeight="1">
      <c r="A91" s="431" t="s">
        <v>273</v>
      </c>
      <c r="B91" s="400" t="s">
        <v>254</v>
      </c>
      <c r="C91" s="401">
        <v>3430.5</v>
      </c>
      <c r="D91" s="402">
        <v>2784</v>
      </c>
      <c r="E91" s="403">
        <f>IF(C91&gt;=0.9*D91,D91,C91+0.1*D91)</f>
        <v>2784</v>
      </c>
      <c r="F91" s="395"/>
      <c r="G91" s="404">
        <f>E91+F91</f>
        <v>2784</v>
      </c>
      <c r="H91" s="405">
        <v>1.709476752659962</v>
      </c>
      <c r="I91" s="395">
        <f>E91*H91</f>
        <v>4759.183279405334</v>
      </c>
      <c r="J91" s="406"/>
      <c r="K91" s="407">
        <f>SUM(I91:J91)</f>
        <v>4759.183279405334</v>
      </c>
      <c r="L91" s="403"/>
      <c r="M91" s="408">
        <f>IF(D91&gt;C91,C91-D91,0)</f>
        <v>0</v>
      </c>
      <c r="N91" s="409">
        <f>IF(D91&lt;C91,C91-D91,0)</f>
        <v>646.5</v>
      </c>
      <c r="R91" s="410"/>
    </row>
    <row r="92" spans="1:18" ht="12.75" customHeight="1">
      <c r="A92" s="390" t="s">
        <v>273</v>
      </c>
      <c r="B92" s="400" t="s">
        <v>255</v>
      </c>
      <c r="C92" s="401">
        <v>0</v>
      </c>
      <c r="D92" s="402">
        <v>0</v>
      </c>
      <c r="E92" s="403">
        <f>IF(C92&gt;=0.9*D92,D92,C92+0.1*D92)</f>
        <v>0</v>
      </c>
      <c r="F92" s="395"/>
      <c r="G92" s="404">
        <f>E92+F92</f>
        <v>0</v>
      </c>
      <c r="H92" s="405"/>
      <c r="I92" s="395">
        <f>E92*H92</f>
        <v>0</v>
      </c>
      <c r="J92" s="406"/>
      <c r="K92" s="407">
        <f>SUM(I92:J92)</f>
        <v>0</v>
      </c>
      <c r="L92" s="403"/>
      <c r="M92" s="408">
        <f>IF(D92&gt;C92,C92-D92,0)</f>
        <v>0</v>
      </c>
      <c r="N92" s="409">
        <f>IF(D92&lt;C92,C92-D92,0)</f>
        <v>0</v>
      </c>
      <c r="R92" s="410"/>
    </row>
    <row r="93" spans="1:18" ht="12.75" customHeight="1">
      <c r="A93" s="390" t="s">
        <v>273</v>
      </c>
      <c r="B93" s="400" t="s">
        <v>256</v>
      </c>
      <c r="C93" s="401">
        <v>1084</v>
      </c>
      <c r="D93" s="402">
        <v>833</v>
      </c>
      <c r="E93" s="403">
        <f>IF(C93&gt;=0.9*D93,D93,C93+0.1*D93)</f>
        <v>833</v>
      </c>
      <c r="F93" s="395"/>
      <c r="G93" s="404">
        <f>E93+F93</f>
        <v>833</v>
      </c>
      <c r="H93" s="405">
        <v>1.7004612546125462</v>
      </c>
      <c r="I93" s="395">
        <f>E93*H93</f>
        <v>1416.4842250922509</v>
      </c>
      <c r="J93" s="406"/>
      <c r="K93" s="407">
        <f>SUM(I93:J93)</f>
        <v>1416.4842250922509</v>
      </c>
      <c r="L93" s="403"/>
      <c r="M93" s="408">
        <f>IF(D93&gt;C93,C93-D93,0)</f>
        <v>0</v>
      </c>
      <c r="N93" s="409">
        <f>IF(D93&lt;C93,C93-D93,0)</f>
        <v>251</v>
      </c>
      <c r="R93" s="410"/>
    </row>
    <row r="94" spans="1:18" ht="12.75" customHeight="1">
      <c r="A94" s="411" t="s">
        <v>273</v>
      </c>
      <c r="B94" s="412" t="s">
        <v>257</v>
      </c>
      <c r="C94" s="413">
        <v>90</v>
      </c>
      <c r="D94" s="414">
        <v>120</v>
      </c>
      <c r="E94" s="403">
        <f>IF(C94&gt;=0.9*D94,D94,C94+0.1*D94)</f>
        <v>102</v>
      </c>
      <c r="F94" s="432"/>
      <c r="G94" s="404">
        <f>E94+F94</f>
        <v>102</v>
      </c>
      <c r="H94" s="416">
        <v>2.011111111111111</v>
      </c>
      <c r="I94" s="395">
        <f>E94*H94</f>
        <v>205.13333333333333</v>
      </c>
      <c r="J94" s="415"/>
      <c r="K94" s="407">
        <f>SUM(I94:J94)</f>
        <v>205.13333333333333</v>
      </c>
      <c r="L94" s="417"/>
      <c r="M94" s="408">
        <f>IF(D94&gt;C94,C94-D94,0)</f>
        <v>-30</v>
      </c>
      <c r="N94" s="409">
        <f>IF(D94&lt;C94,C94-D94,0)</f>
        <v>0</v>
      </c>
      <c r="R94" s="410"/>
    </row>
    <row r="95" spans="1:18" ht="12.75" customHeight="1" thickBot="1">
      <c r="A95" s="433" t="s">
        <v>273</v>
      </c>
      <c r="B95" s="420" t="s">
        <v>258</v>
      </c>
      <c r="C95" s="401">
        <v>5356</v>
      </c>
      <c r="D95" s="402">
        <v>5080</v>
      </c>
      <c r="E95" s="403">
        <f>IF(C95&lt;D95,C95,D95)</f>
        <v>5080</v>
      </c>
      <c r="F95" s="432"/>
      <c r="G95" s="404">
        <f>E95+F95</f>
        <v>5080</v>
      </c>
      <c r="H95" s="405">
        <v>1.7069286781179984</v>
      </c>
      <c r="I95" s="395">
        <f>E95*H95</f>
        <v>8671.197684839432</v>
      </c>
      <c r="J95" s="415"/>
      <c r="K95" s="407">
        <f>SUM(I95:J95)</f>
        <v>8671.197684839432</v>
      </c>
      <c r="L95" s="417"/>
      <c r="M95" s="408">
        <f>IF(D95&gt;C95,C95-D95,0)</f>
        <v>0</v>
      </c>
      <c r="N95" s="409">
        <f>IF(D95&lt;C95,C95-D95,0)</f>
        <v>276</v>
      </c>
      <c r="R95" s="410"/>
    </row>
    <row r="96" spans="1:18" ht="12.75" customHeight="1" thickBot="1">
      <c r="A96" s="421" t="s">
        <v>273</v>
      </c>
      <c r="B96" s="422" t="s">
        <v>106</v>
      </c>
      <c r="C96" s="423">
        <v>9960.5</v>
      </c>
      <c r="D96" s="424">
        <v>8817</v>
      </c>
      <c r="E96" s="424">
        <f>SUM(E91:E95)</f>
        <v>8799</v>
      </c>
      <c r="F96" s="425">
        <f>SUM(F91:F95)</f>
        <v>0</v>
      </c>
      <c r="G96" s="426">
        <f>SUM(G91:G95)</f>
        <v>8799</v>
      </c>
      <c r="H96" s="425"/>
      <c r="I96" s="425">
        <f>SUM(I91:I95)</f>
        <v>15051.99852267035</v>
      </c>
      <c r="J96" s="425">
        <f>SUM(J91:J95)</f>
        <v>0</v>
      </c>
      <c r="K96" s="427">
        <f>SUM(K91:K95)</f>
        <v>15051.99852267035</v>
      </c>
      <c r="L96" s="428">
        <f>ROUND(K96*$N$155/$K$150,0)</f>
        <v>377965</v>
      </c>
      <c r="M96" s="429">
        <f>SUM(M91:M95)</f>
        <v>-30</v>
      </c>
      <c r="N96" s="430">
        <f>SUM(N91:N95)</f>
        <v>1173.5</v>
      </c>
      <c r="R96" s="410"/>
    </row>
    <row r="97" spans="1:18" ht="12.75" customHeight="1">
      <c r="A97" s="431" t="s">
        <v>274</v>
      </c>
      <c r="B97" s="400" t="s">
        <v>254</v>
      </c>
      <c r="C97" s="401">
        <v>5814.5</v>
      </c>
      <c r="D97" s="402">
        <v>5371</v>
      </c>
      <c r="E97" s="403">
        <f>IF(C97&gt;=0.9*D97,D97,C97+0.1*D97)</f>
        <v>5371</v>
      </c>
      <c r="F97" s="395"/>
      <c r="G97" s="404">
        <f>E97+F97</f>
        <v>5371</v>
      </c>
      <c r="H97" s="405">
        <v>1.7120474675380515</v>
      </c>
      <c r="I97" s="395">
        <f>E97*H97</f>
        <v>9195.406948146874</v>
      </c>
      <c r="J97" s="406"/>
      <c r="K97" s="407">
        <f>SUM(I97:J97)</f>
        <v>9195.406948146874</v>
      </c>
      <c r="L97" s="403"/>
      <c r="M97" s="408">
        <f>IF(D97&gt;C97,C97-D97,0)</f>
        <v>0</v>
      </c>
      <c r="N97" s="409">
        <f>IF(D97&lt;C97,C97-D97,0)</f>
        <v>443.5</v>
      </c>
      <c r="R97" s="410"/>
    </row>
    <row r="98" spans="1:18" ht="12.75" customHeight="1">
      <c r="A98" s="390" t="s">
        <v>274</v>
      </c>
      <c r="B98" s="400" t="s">
        <v>255</v>
      </c>
      <c r="C98" s="401">
        <v>0</v>
      </c>
      <c r="D98" s="402">
        <v>2</v>
      </c>
      <c r="E98" s="403">
        <f>IF(C98&gt;=0.9*D98,D98,C98+0.1*D98)</f>
        <v>0.2</v>
      </c>
      <c r="F98" s="395"/>
      <c r="G98" s="404">
        <f>E98+F98</f>
        <v>0.2</v>
      </c>
      <c r="H98" s="405"/>
      <c r="I98" s="395">
        <f>E98*H98</f>
        <v>0</v>
      </c>
      <c r="J98" s="406"/>
      <c r="K98" s="407">
        <f>SUM(I98:J98)</f>
        <v>0</v>
      </c>
      <c r="L98" s="403"/>
      <c r="M98" s="408">
        <f>IF(D98&gt;C98,C98-D98,0)</f>
        <v>-2</v>
      </c>
      <c r="N98" s="409">
        <f>IF(D98&lt;C98,C98-D98,0)</f>
        <v>0</v>
      </c>
      <c r="R98" s="410"/>
    </row>
    <row r="99" spans="1:18" ht="12.75" customHeight="1">
      <c r="A99" s="390" t="s">
        <v>274</v>
      </c>
      <c r="B99" s="400" t="s">
        <v>256</v>
      </c>
      <c r="C99" s="401">
        <v>3300.5</v>
      </c>
      <c r="D99" s="402">
        <v>2580</v>
      </c>
      <c r="E99" s="403">
        <f>IF(C99&gt;=0.9*D99,D99,C99+0.1*D99)</f>
        <v>2580</v>
      </c>
      <c r="F99" s="395"/>
      <c r="G99" s="404">
        <f>E99+F99</f>
        <v>2580</v>
      </c>
      <c r="H99" s="405">
        <v>1.6544281169519768</v>
      </c>
      <c r="I99" s="395">
        <f>E99*H99</f>
        <v>4268.4245417361</v>
      </c>
      <c r="J99" s="406"/>
      <c r="K99" s="407">
        <f>SUM(I99:J99)</f>
        <v>4268.4245417361</v>
      </c>
      <c r="L99" s="403"/>
      <c r="M99" s="408">
        <f>IF(D99&gt;C99,C99-D99,0)</f>
        <v>0</v>
      </c>
      <c r="N99" s="409">
        <f>IF(D99&lt;C99,C99-D99,0)</f>
        <v>720.5</v>
      </c>
      <c r="R99" s="410"/>
    </row>
    <row r="100" spans="1:18" ht="12.75" customHeight="1">
      <c r="A100" s="411" t="s">
        <v>274</v>
      </c>
      <c r="B100" s="412" t="s">
        <v>257</v>
      </c>
      <c r="C100" s="413">
        <v>411.5</v>
      </c>
      <c r="D100" s="414">
        <v>444</v>
      </c>
      <c r="E100" s="403">
        <f>IF(C100&gt;=0.9*D100,D100,C100+0.1*D100)</f>
        <v>444</v>
      </c>
      <c r="F100" s="432"/>
      <c r="G100" s="404">
        <f>E100+F100</f>
        <v>444</v>
      </c>
      <c r="H100" s="416">
        <v>1.7953341433778858</v>
      </c>
      <c r="I100" s="395">
        <f>E100*H100</f>
        <v>797.1283596597813</v>
      </c>
      <c r="J100" s="415"/>
      <c r="K100" s="407">
        <f>SUM(I100:J100)</f>
        <v>797.1283596597813</v>
      </c>
      <c r="L100" s="417"/>
      <c r="M100" s="408">
        <f>IF(D100&gt;C100,C100-D100,0)</f>
        <v>-32.5</v>
      </c>
      <c r="N100" s="409">
        <f>IF(D100&lt;C100,C100-D100,0)</f>
        <v>0</v>
      </c>
      <c r="R100" s="410"/>
    </row>
    <row r="101" spans="1:18" ht="12.75" customHeight="1" thickBot="1">
      <c r="A101" s="433" t="s">
        <v>274</v>
      </c>
      <c r="B101" s="420" t="s">
        <v>258</v>
      </c>
      <c r="C101" s="401">
        <v>12236</v>
      </c>
      <c r="D101" s="402">
        <v>11442</v>
      </c>
      <c r="E101" s="403">
        <f>IF(C101&lt;D101,C101,D101)</f>
        <v>11442</v>
      </c>
      <c r="F101" s="432"/>
      <c r="G101" s="404">
        <f>E101+F101</f>
        <v>11442</v>
      </c>
      <c r="H101" s="405">
        <v>1.680872834259562</v>
      </c>
      <c r="I101" s="395">
        <f>E101*H101</f>
        <v>19232.546969597908</v>
      </c>
      <c r="J101" s="415"/>
      <c r="K101" s="407">
        <f>SUM(I101:J101)</f>
        <v>19232.546969597908</v>
      </c>
      <c r="L101" s="417"/>
      <c r="M101" s="408">
        <f>IF(D101&gt;C101,C101-D101,0)</f>
        <v>0</v>
      </c>
      <c r="N101" s="409">
        <f>IF(D101&lt;C101,C101-D101,0)</f>
        <v>794</v>
      </c>
      <c r="R101" s="410"/>
    </row>
    <row r="102" spans="1:18" ht="12.75" customHeight="1" thickBot="1">
      <c r="A102" s="421" t="s">
        <v>274</v>
      </c>
      <c r="B102" s="422" t="s">
        <v>106</v>
      </c>
      <c r="C102" s="423">
        <v>21762.5</v>
      </c>
      <c r="D102" s="424">
        <v>19839</v>
      </c>
      <c r="E102" s="424">
        <f>SUM(E97:E101)</f>
        <v>19837.2</v>
      </c>
      <c r="F102" s="425">
        <f>SUM(F97:F101)</f>
        <v>0</v>
      </c>
      <c r="G102" s="426">
        <f>SUM(G97:G101)</f>
        <v>19837.2</v>
      </c>
      <c r="H102" s="425"/>
      <c r="I102" s="425">
        <f>SUM(I97:I101)</f>
        <v>33493.50681914066</v>
      </c>
      <c r="J102" s="425">
        <f>SUM(J97:J101)</f>
        <v>0</v>
      </c>
      <c r="K102" s="427">
        <f>SUM(K97:K101)</f>
        <v>33493.50681914066</v>
      </c>
      <c r="L102" s="428">
        <f>ROUND(K102*$N$155/$K$150,0)</f>
        <v>841043</v>
      </c>
      <c r="M102" s="429">
        <f>SUM(M97:M101)</f>
        <v>-34.5</v>
      </c>
      <c r="N102" s="430">
        <f>SUM(N97:N101)</f>
        <v>1958</v>
      </c>
      <c r="R102" s="410"/>
    </row>
    <row r="103" spans="1:18" ht="12.75" customHeight="1">
      <c r="A103" s="434" t="s">
        <v>275</v>
      </c>
      <c r="B103" s="400" t="s">
        <v>254</v>
      </c>
      <c r="C103" s="401">
        <v>5822.5</v>
      </c>
      <c r="D103" s="402">
        <v>5619</v>
      </c>
      <c r="E103" s="403">
        <f>IF(C103&gt;=0.9*D103,D103,C103+0.1*D103)</f>
        <v>5619</v>
      </c>
      <c r="F103" s="395"/>
      <c r="G103" s="404">
        <f>E103+F103</f>
        <v>5619</v>
      </c>
      <c r="H103" s="405">
        <v>1.5120326320309145</v>
      </c>
      <c r="I103" s="395">
        <f>E103*H103</f>
        <v>8496.111359381708</v>
      </c>
      <c r="J103" s="406"/>
      <c r="K103" s="407">
        <f>SUM(I103:J103)</f>
        <v>8496.111359381708</v>
      </c>
      <c r="L103" s="403"/>
      <c r="M103" s="408">
        <f>IF(D103&gt;C103,C103-D103,0)</f>
        <v>0</v>
      </c>
      <c r="N103" s="409">
        <f>IF(D103&lt;C103,C103-D103,0)</f>
        <v>203.5</v>
      </c>
      <c r="R103" s="410"/>
    </row>
    <row r="104" spans="1:18" ht="12.75" customHeight="1">
      <c r="A104" s="399" t="s">
        <v>275</v>
      </c>
      <c r="B104" s="400" t="s">
        <v>255</v>
      </c>
      <c r="C104" s="401">
        <v>0</v>
      </c>
      <c r="D104" s="402">
        <v>0</v>
      </c>
      <c r="E104" s="403">
        <f>IF(C104&gt;=0.9*D104,D104,C104+0.1*D104)</f>
        <v>0</v>
      </c>
      <c r="F104" s="395"/>
      <c r="G104" s="404">
        <f>E104+F104</f>
        <v>0</v>
      </c>
      <c r="H104" s="405"/>
      <c r="I104" s="395">
        <f>E104*H104</f>
        <v>0</v>
      </c>
      <c r="J104" s="406"/>
      <c r="K104" s="407">
        <f>SUM(I104:J104)</f>
        <v>0</v>
      </c>
      <c r="L104" s="403"/>
      <c r="M104" s="408">
        <f>IF(D104&gt;C104,C104-D104,0)</f>
        <v>0</v>
      </c>
      <c r="N104" s="409">
        <f>IF(D104&lt;C104,C104-D104,0)</f>
        <v>0</v>
      </c>
      <c r="R104" s="410"/>
    </row>
    <row r="105" spans="1:18" ht="12.75" customHeight="1">
      <c r="A105" s="399" t="s">
        <v>275</v>
      </c>
      <c r="B105" s="400" t="s">
        <v>256</v>
      </c>
      <c r="C105" s="401">
        <v>2785</v>
      </c>
      <c r="D105" s="402">
        <v>2213</v>
      </c>
      <c r="E105" s="403">
        <f>IF(C105&gt;=0.9*D105,D105,C105+0.1*D105)</f>
        <v>2213</v>
      </c>
      <c r="F105" s="395"/>
      <c r="G105" s="404">
        <f>E105+F105</f>
        <v>2213</v>
      </c>
      <c r="H105" s="405">
        <v>1.4559892280071813</v>
      </c>
      <c r="I105" s="395">
        <f>E105*H105</f>
        <v>3222.104161579892</v>
      </c>
      <c r="J105" s="406"/>
      <c r="K105" s="407">
        <f>SUM(I105:J105)</f>
        <v>3222.104161579892</v>
      </c>
      <c r="L105" s="403"/>
      <c r="M105" s="408">
        <f>IF(D105&gt;C105,C105-D105,0)</f>
        <v>0</v>
      </c>
      <c r="N105" s="409">
        <f>IF(D105&lt;C105,C105-D105,0)</f>
        <v>572</v>
      </c>
      <c r="R105" s="410"/>
    </row>
    <row r="106" spans="1:18" ht="12.75" customHeight="1">
      <c r="A106" s="411" t="s">
        <v>275</v>
      </c>
      <c r="B106" s="412" t="s">
        <v>257</v>
      </c>
      <c r="C106" s="413">
        <v>303.5</v>
      </c>
      <c r="D106" s="414">
        <v>311</v>
      </c>
      <c r="E106" s="403">
        <f>IF(C106&gt;=0.9*D106,D106,C106+0.1*D106)</f>
        <v>311</v>
      </c>
      <c r="F106" s="432"/>
      <c r="G106" s="404">
        <f>E106+F106</f>
        <v>311</v>
      </c>
      <c r="H106" s="416">
        <v>1.6778583196046128</v>
      </c>
      <c r="I106" s="395">
        <f>E106*H106</f>
        <v>521.8139373970346</v>
      </c>
      <c r="J106" s="415"/>
      <c r="K106" s="407">
        <f>SUM(I106:J106)</f>
        <v>521.8139373970346</v>
      </c>
      <c r="L106" s="417"/>
      <c r="M106" s="408">
        <f>IF(D106&gt;C106,C106-D106,0)</f>
        <v>-7.5</v>
      </c>
      <c r="N106" s="409">
        <f>IF(D106&lt;C106,C106-D106,0)</f>
        <v>0</v>
      </c>
      <c r="R106" s="410"/>
    </row>
    <row r="107" spans="1:18" ht="12.75" customHeight="1" thickBot="1">
      <c r="A107" s="419" t="s">
        <v>275</v>
      </c>
      <c r="B107" s="420" t="s">
        <v>258</v>
      </c>
      <c r="C107" s="401">
        <v>10705.5</v>
      </c>
      <c r="D107" s="402">
        <v>10531</v>
      </c>
      <c r="E107" s="403">
        <f>IF(C107&lt;D107,C107,D107)</f>
        <v>10531</v>
      </c>
      <c r="F107" s="432"/>
      <c r="G107" s="404">
        <f>E107+F107</f>
        <v>10531</v>
      </c>
      <c r="H107" s="405">
        <v>1.507523235719957</v>
      </c>
      <c r="I107" s="395">
        <f>E107*H107</f>
        <v>15875.727195366868</v>
      </c>
      <c r="J107" s="415"/>
      <c r="K107" s="407">
        <f>SUM(I107:J107)</f>
        <v>15875.727195366868</v>
      </c>
      <c r="L107" s="417"/>
      <c r="M107" s="408">
        <f>IF(D107&gt;C107,C107-D107,0)</f>
        <v>0</v>
      </c>
      <c r="N107" s="409">
        <f>IF(D107&lt;C107,C107-D107,0)</f>
        <v>174.5</v>
      </c>
      <c r="R107" s="410"/>
    </row>
    <row r="108" spans="1:18" ht="12.75" customHeight="1" thickBot="1">
      <c r="A108" s="421" t="s">
        <v>275</v>
      </c>
      <c r="B108" s="422" t="s">
        <v>106</v>
      </c>
      <c r="C108" s="423">
        <v>19616.5</v>
      </c>
      <c r="D108" s="424">
        <v>18674</v>
      </c>
      <c r="E108" s="424">
        <f>SUM(E103:E107)</f>
        <v>18674</v>
      </c>
      <c r="F108" s="425">
        <f>SUM(F103:F107)</f>
        <v>0</v>
      </c>
      <c r="G108" s="426">
        <f>SUM(G103:G107)</f>
        <v>18674</v>
      </c>
      <c r="H108" s="425"/>
      <c r="I108" s="425">
        <f>SUM(I103:I107)</f>
        <v>28115.756653725504</v>
      </c>
      <c r="J108" s="425">
        <f>SUM(J103:J107)</f>
        <v>0</v>
      </c>
      <c r="K108" s="427">
        <f>SUM(K103:K107)</f>
        <v>28115.756653725504</v>
      </c>
      <c r="L108" s="428">
        <f>ROUND(K108*$N$155/$K$150,0)</f>
        <v>706004</v>
      </c>
      <c r="M108" s="429">
        <f>SUM(M103:M107)</f>
        <v>-7.5</v>
      </c>
      <c r="N108" s="430">
        <f>SUM(N103:N107)</f>
        <v>950</v>
      </c>
      <c r="R108" s="410"/>
    </row>
    <row r="109" spans="1:18" ht="12.75" customHeight="1">
      <c r="A109" s="431" t="s">
        <v>276</v>
      </c>
      <c r="B109" s="400" t="s">
        <v>254</v>
      </c>
      <c r="C109" s="401">
        <v>3236</v>
      </c>
      <c r="D109" s="402">
        <v>2880</v>
      </c>
      <c r="E109" s="403">
        <f>IF(C109&gt;=0.9*D109,D109,C109+0.1*D109)</f>
        <v>2880</v>
      </c>
      <c r="F109" s="395"/>
      <c r="G109" s="404">
        <f>E109+F109</f>
        <v>2880</v>
      </c>
      <c r="H109" s="405">
        <v>1.75938195302843</v>
      </c>
      <c r="I109" s="395">
        <f>E109*H109</f>
        <v>5067.020024721878</v>
      </c>
      <c r="J109" s="406"/>
      <c r="K109" s="407">
        <f>SUM(I109:J109)</f>
        <v>5067.020024721878</v>
      </c>
      <c r="L109" s="403"/>
      <c r="M109" s="408">
        <f>IF(D109&gt;C109,C109-D109,0)</f>
        <v>0</v>
      </c>
      <c r="N109" s="409">
        <f>IF(D109&lt;C109,C109-D109,0)</f>
        <v>356</v>
      </c>
      <c r="R109" s="410"/>
    </row>
    <row r="110" spans="1:18" ht="12.75" customHeight="1">
      <c r="A110" s="399" t="s">
        <v>276</v>
      </c>
      <c r="B110" s="400" t="s">
        <v>255</v>
      </c>
      <c r="C110" s="401">
        <v>0</v>
      </c>
      <c r="D110" s="402">
        <v>0</v>
      </c>
      <c r="E110" s="403">
        <f>IF(C110&gt;=0.9*D110,D110,C110+0.1*D110)</f>
        <v>0</v>
      </c>
      <c r="F110" s="395"/>
      <c r="G110" s="404">
        <f>E110+F110</f>
        <v>0</v>
      </c>
      <c r="H110" s="405"/>
      <c r="I110" s="395">
        <f>E110*H110</f>
        <v>0</v>
      </c>
      <c r="J110" s="406"/>
      <c r="K110" s="407">
        <f>SUM(I110:J110)</f>
        <v>0</v>
      </c>
      <c r="L110" s="403"/>
      <c r="M110" s="408">
        <f>IF(D110&gt;C110,C110-D110,0)</f>
        <v>0</v>
      </c>
      <c r="N110" s="409">
        <f>IF(D110&lt;C110,C110-D110,0)</f>
        <v>0</v>
      </c>
      <c r="R110" s="410"/>
    </row>
    <row r="111" spans="1:18" ht="12.75" customHeight="1">
      <c r="A111" s="399" t="s">
        <v>276</v>
      </c>
      <c r="B111" s="400" t="s">
        <v>256</v>
      </c>
      <c r="C111" s="401">
        <v>1656.5</v>
      </c>
      <c r="D111" s="402">
        <v>1456</v>
      </c>
      <c r="E111" s="403">
        <f>IF(C111&gt;=0.9*D111,D111,C111+0.1*D111)</f>
        <v>1456</v>
      </c>
      <c r="F111" s="395"/>
      <c r="G111" s="404">
        <f>E111+F111</f>
        <v>1456</v>
      </c>
      <c r="H111" s="405">
        <v>1.6357983700573497</v>
      </c>
      <c r="I111" s="395">
        <f>E111*H111</f>
        <v>2381.722426803501</v>
      </c>
      <c r="J111" s="406"/>
      <c r="K111" s="407">
        <f>SUM(I111:J111)</f>
        <v>2381.722426803501</v>
      </c>
      <c r="L111" s="403"/>
      <c r="M111" s="408">
        <f>IF(D111&gt;C111,C111-D111,0)</f>
        <v>0</v>
      </c>
      <c r="N111" s="409">
        <f>IF(D111&lt;C111,C111-D111,0)</f>
        <v>200.5</v>
      </c>
      <c r="R111" s="410"/>
    </row>
    <row r="112" spans="1:18" ht="12.75" customHeight="1">
      <c r="A112" s="411" t="s">
        <v>276</v>
      </c>
      <c r="B112" s="412" t="s">
        <v>257</v>
      </c>
      <c r="C112" s="413">
        <v>94</v>
      </c>
      <c r="D112" s="414">
        <v>105</v>
      </c>
      <c r="E112" s="403">
        <f>IF(C112&gt;=0.9*D112,D112,C112+0.1*D112)</f>
        <v>104.5</v>
      </c>
      <c r="F112" s="432"/>
      <c r="G112" s="404">
        <f>E112+F112</f>
        <v>104.5</v>
      </c>
      <c r="H112" s="416">
        <v>2.1808510638297873</v>
      </c>
      <c r="I112" s="395">
        <f>E112*H112</f>
        <v>227.89893617021278</v>
      </c>
      <c r="J112" s="415"/>
      <c r="K112" s="407">
        <f>SUM(I112:J112)</f>
        <v>227.89893617021278</v>
      </c>
      <c r="L112" s="417"/>
      <c r="M112" s="408">
        <f>IF(D112&gt;C112,C112-D112,0)</f>
        <v>-11</v>
      </c>
      <c r="N112" s="409">
        <f>IF(D112&lt;C112,C112-D112,0)</f>
        <v>0</v>
      </c>
      <c r="R112" s="410"/>
    </row>
    <row r="113" spans="1:18" ht="12.75" customHeight="1" thickBot="1">
      <c r="A113" s="419" t="s">
        <v>276</v>
      </c>
      <c r="B113" s="420" t="s">
        <v>258</v>
      </c>
      <c r="C113" s="401">
        <v>6874</v>
      </c>
      <c r="D113" s="402">
        <v>6646</v>
      </c>
      <c r="E113" s="403">
        <f>IF(C113&lt;D113,C113,D113)</f>
        <v>6646</v>
      </c>
      <c r="F113" s="432"/>
      <c r="G113" s="404">
        <f>E113+F113</f>
        <v>6646</v>
      </c>
      <c r="H113" s="405">
        <v>1.6283808553971486</v>
      </c>
      <c r="I113" s="395">
        <f>E113*H113</f>
        <v>10822.21916496945</v>
      </c>
      <c r="J113" s="415"/>
      <c r="K113" s="407">
        <f>SUM(I113:J113)</f>
        <v>10822.21916496945</v>
      </c>
      <c r="L113" s="417"/>
      <c r="M113" s="408">
        <f>IF(D113&gt;C113,C113-D113,0)</f>
        <v>0</v>
      </c>
      <c r="N113" s="409">
        <f>IF(D113&lt;C113,C113-D113,0)</f>
        <v>228</v>
      </c>
      <c r="R113" s="410"/>
    </row>
    <row r="114" spans="1:18" ht="12.75" customHeight="1" thickBot="1">
      <c r="A114" s="421" t="s">
        <v>276</v>
      </c>
      <c r="B114" s="422" t="s">
        <v>106</v>
      </c>
      <c r="C114" s="423">
        <v>11860.5</v>
      </c>
      <c r="D114" s="424">
        <v>11087</v>
      </c>
      <c r="E114" s="424">
        <f>SUM(E109:E113)</f>
        <v>11086.5</v>
      </c>
      <c r="F114" s="425">
        <f>SUM(F109:F113)</f>
        <v>0</v>
      </c>
      <c r="G114" s="426">
        <f>SUM(G109:G113)</f>
        <v>11086.5</v>
      </c>
      <c r="H114" s="425"/>
      <c r="I114" s="425">
        <f>SUM(I109:I113)</f>
        <v>18498.860552665043</v>
      </c>
      <c r="J114" s="425">
        <f>SUM(J109:J113)</f>
        <v>0</v>
      </c>
      <c r="K114" s="427">
        <f>SUM(K109:K113)</f>
        <v>18498.860552665043</v>
      </c>
      <c r="L114" s="428">
        <f>ROUND(K114*$N$155/$K$150,0)</f>
        <v>464518</v>
      </c>
      <c r="M114" s="429">
        <f>SUM(M109:M113)</f>
        <v>-11</v>
      </c>
      <c r="N114" s="430">
        <f>SUM(N109:N113)</f>
        <v>784.5</v>
      </c>
      <c r="R114" s="410"/>
    </row>
    <row r="115" spans="1:18" ht="12.75" customHeight="1">
      <c r="A115" s="434" t="s">
        <v>277</v>
      </c>
      <c r="B115" s="400" t="s">
        <v>254</v>
      </c>
      <c r="C115" s="401">
        <v>3920.5</v>
      </c>
      <c r="D115" s="402">
        <v>3926</v>
      </c>
      <c r="E115" s="403">
        <f>IF(C115&gt;=0.9*D115,D115,C115+0.1*D115)</f>
        <v>3926</v>
      </c>
      <c r="F115" s="395"/>
      <c r="G115" s="404">
        <f>E115+F115</f>
        <v>3926</v>
      </c>
      <c r="H115" s="405">
        <v>1.1159750031883688</v>
      </c>
      <c r="I115" s="395">
        <f>E115*H115</f>
        <v>4381.317862517536</v>
      </c>
      <c r="J115" s="406"/>
      <c r="K115" s="407">
        <f>SUM(I115:J115)</f>
        <v>4381.317862517536</v>
      </c>
      <c r="L115" s="403"/>
      <c r="M115" s="408">
        <f>IF(D115&gt;C115,C115-D115,0)</f>
        <v>-5.5</v>
      </c>
      <c r="N115" s="409">
        <f>IF(D115&lt;C115,C115-D115,0)</f>
        <v>0</v>
      </c>
      <c r="R115" s="410"/>
    </row>
    <row r="116" spans="1:18" ht="12.75" customHeight="1">
      <c r="A116" s="399" t="s">
        <v>277</v>
      </c>
      <c r="B116" s="400" t="s">
        <v>255</v>
      </c>
      <c r="C116" s="401">
        <v>0</v>
      </c>
      <c r="D116" s="402">
        <v>0</v>
      </c>
      <c r="E116" s="403">
        <f>IF(C116&gt;=0.9*D116,D116,C116+0.1*D116)</f>
        <v>0</v>
      </c>
      <c r="F116" s="395"/>
      <c r="G116" s="404">
        <f>E116+F116</f>
        <v>0</v>
      </c>
      <c r="H116" s="405"/>
      <c r="I116" s="395">
        <f>E116*H116</f>
        <v>0</v>
      </c>
      <c r="J116" s="406"/>
      <c r="K116" s="407">
        <f>SUM(I116:J116)</f>
        <v>0</v>
      </c>
      <c r="L116" s="403"/>
      <c r="M116" s="408">
        <f>IF(D116&gt;C116,C116-D116,0)</f>
        <v>0</v>
      </c>
      <c r="N116" s="409">
        <f>IF(D116&lt;C116,C116-D116,0)</f>
        <v>0</v>
      </c>
      <c r="R116" s="410"/>
    </row>
    <row r="117" spans="1:18" ht="12.75" customHeight="1">
      <c r="A117" s="399" t="s">
        <v>277</v>
      </c>
      <c r="B117" s="400" t="s">
        <v>256</v>
      </c>
      <c r="C117" s="401">
        <v>2426.5</v>
      </c>
      <c r="D117" s="402">
        <v>2358</v>
      </c>
      <c r="E117" s="403">
        <f>IF(C117&gt;=0.9*D117,D117,C117+0.1*D117)</f>
        <v>2358</v>
      </c>
      <c r="F117" s="395"/>
      <c r="G117" s="404">
        <f>E117+F117</f>
        <v>2358</v>
      </c>
      <c r="H117" s="405">
        <v>1.0637543787348032</v>
      </c>
      <c r="I117" s="395">
        <f>E117*H117</f>
        <v>2508.332825056666</v>
      </c>
      <c r="J117" s="406"/>
      <c r="K117" s="407">
        <f>SUM(I117:J117)</f>
        <v>2508.332825056666</v>
      </c>
      <c r="L117" s="403"/>
      <c r="M117" s="408">
        <f>IF(D117&gt;C117,C117-D117,0)</f>
        <v>0</v>
      </c>
      <c r="N117" s="409">
        <f>IF(D117&lt;C117,C117-D117,0)</f>
        <v>68.5</v>
      </c>
      <c r="R117" s="410"/>
    </row>
    <row r="118" spans="1:18" ht="12.75" customHeight="1">
      <c r="A118" s="411" t="s">
        <v>277</v>
      </c>
      <c r="B118" s="412" t="s">
        <v>257</v>
      </c>
      <c r="C118" s="413">
        <v>159.5</v>
      </c>
      <c r="D118" s="414">
        <v>171</v>
      </c>
      <c r="E118" s="403">
        <f>IF(C118&gt;=0.9*D118,D118,C118+0.1*D118)</f>
        <v>171</v>
      </c>
      <c r="F118" s="432"/>
      <c r="G118" s="404">
        <f>E118+F118</f>
        <v>171</v>
      </c>
      <c r="H118" s="416">
        <v>1.0815047021943573</v>
      </c>
      <c r="I118" s="395">
        <f>E118*H118</f>
        <v>184.93730407523512</v>
      </c>
      <c r="J118" s="415"/>
      <c r="K118" s="407">
        <f>SUM(I118:J118)</f>
        <v>184.93730407523512</v>
      </c>
      <c r="L118" s="417"/>
      <c r="M118" s="408">
        <f>IF(D118&gt;C118,C118-D118,0)</f>
        <v>-11.5</v>
      </c>
      <c r="N118" s="409">
        <f>IF(D118&lt;C118,C118-D118,0)</f>
        <v>0</v>
      </c>
      <c r="R118" s="410"/>
    </row>
    <row r="119" spans="1:18" ht="12.75" customHeight="1" thickBot="1">
      <c r="A119" s="419" t="s">
        <v>277</v>
      </c>
      <c r="B119" s="420" t="s">
        <v>258</v>
      </c>
      <c r="C119" s="401">
        <v>10775</v>
      </c>
      <c r="D119" s="402">
        <v>10336</v>
      </c>
      <c r="E119" s="403">
        <f>IF(C119&lt;D119,C119,D119)</f>
        <v>10336</v>
      </c>
      <c r="F119" s="432"/>
      <c r="G119" s="404">
        <f>E119+F119</f>
        <v>10336</v>
      </c>
      <c r="H119" s="405">
        <v>1.0722403712296984</v>
      </c>
      <c r="I119" s="395">
        <f>E119*H119</f>
        <v>11082.676477030163</v>
      </c>
      <c r="J119" s="415"/>
      <c r="K119" s="407">
        <f>SUM(I119:J119)</f>
        <v>11082.676477030163</v>
      </c>
      <c r="L119" s="417"/>
      <c r="M119" s="408">
        <f>IF(D119&gt;C119,C119-D119,0)</f>
        <v>0</v>
      </c>
      <c r="N119" s="409">
        <f>IF(D119&lt;C119,C119-D119,0)</f>
        <v>439</v>
      </c>
      <c r="R119" s="410"/>
    </row>
    <row r="120" spans="1:18" ht="12.75" customHeight="1" thickBot="1">
      <c r="A120" s="421" t="s">
        <v>277</v>
      </c>
      <c r="B120" s="422" t="s">
        <v>106</v>
      </c>
      <c r="C120" s="423">
        <v>17281.5</v>
      </c>
      <c r="D120" s="424">
        <v>16791</v>
      </c>
      <c r="E120" s="424">
        <f>SUM(E115:E119)</f>
        <v>16791</v>
      </c>
      <c r="F120" s="425">
        <f>SUM(F115:F119)</f>
        <v>0</v>
      </c>
      <c r="G120" s="426">
        <f>SUM(G115:G119)</f>
        <v>16791</v>
      </c>
      <c r="H120" s="425"/>
      <c r="I120" s="425">
        <f>SUM(I115:I119)</f>
        <v>18157.2644686796</v>
      </c>
      <c r="J120" s="425">
        <f>SUM(J115:J119)</f>
        <v>0</v>
      </c>
      <c r="K120" s="427">
        <f>SUM(K115:K119)</f>
        <v>18157.2644686796</v>
      </c>
      <c r="L120" s="428">
        <f>ROUND(K120*$N$155/$K$150,0)</f>
        <v>455940</v>
      </c>
      <c r="M120" s="429">
        <f>SUM(M115:M119)</f>
        <v>-17</v>
      </c>
      <c r="N120" s="430">
        <f>SUM(N115:N119)</f>
        <v>507.5</v>
      </c>
      <c r="R120" s="410"/>
    </row>
    <row r="121" spans="1:18" ht="12.75" customHeight="1">
      <c r="A121" s="434" t="s">
        <v>278</v>
      </c>
      <c r="B121" s="400" t="s">
        <v>254</v>
      </c>
      <c r="C121" s="401">
        <v>7115.5</v>
      </c>
      <c r="D121" s="402">
        <v>5216</v>
      </c>
      <c r="E121" s="403">
        <f>IF(C121&gt;=0.9*D121,D121,C121+0.1*D121)</f>
        <v>5216</v>
      </c>
      <c r="F121" s="395"/>
      <c r="G121" s="404">
        <f>E121+F121</f>
        <v>5216</v>
      </c>
      <c r="H121" s="405">
        <v>1.6805270184807815</v>
      </c>
      <c r="I121" s="395">
        <f>E121*H121</f>
        <v>8765.628928395756</v>
      </c>
      <c r="J121" s="406"/>
      <c r="K121" s="407">
        <f>SUM(I121:J121)</f>
        <v>8765.628928395756</v>
      </c>
      <c r="L121" s="403"/>
      <c r="M121" s="408">
        <f>IF(D121&gt;C121,C121-D121,0)</f>
        <v>0</v>
      </c>
      <c r="N121" s="409">
        <f>IF(D121&lt;C121,C121-D121,0)</f>
        <v>1899.5</v>
      </c>
      <c r="R121" s="410"/>
    </row>
    <row r="122" spans="1:18" ht="12.75" customHeight="1">
      <c r="A122" s="399" t="s">
        <v>278</v>
      </c>
      <c r="B122" s="400" t="s">
        <v>255</v>
      </c>
      <c r="C122" s="401">
        <v>0</v>
      </c>
      <c r="D122" s="402">
        <v>0</v>
      </c>
      <c r="E122" s="403">
        <f>IF(C122&gt;=0.9*D122,D122,C122+0.1*D122)</f>
        <v>0</v>
      </c>
      <c r="F122" s="395"/>
      <c r="G122" s="404">
        <f>E122+F122</f>
        <v>0</v>
      </c>
      <c r="H122" s="405"/>
      <c r="I122" s="395">
        <f>E122*H122</f>
        <v>0</v>
      </c>
      <c r="J122" s="406"/>
      <c r="K122" s="407">
        <f>SUM(I122:J122)</f>
        <v>0</v>
      </c>
      <c r="L122" s="403"/>
      <c r="M122" s="408">
        <f>IF(D122&gt;C122,C122-D122,0)</f>
        <v>0</v>
      </c>
      <c r="N122" s="409">
        <f>IF(D122&lt;C122,C122-D122,0)</f>
        <v>0</v>
      </c>
      <c r="R122" s="410"/>
    </row>
    <row r="123" spans="1:18" ht="12.75" customHeight="1">
      <c r="A123" s="399" t="s">
        <v>278</v>
      </c>
      <c r="B123" s="400" t="s">
        <v>256</v>
      </c>
      <c r="C123" s="401">
        <v>3961.5</v>
      </c>
      <c r="D123" s="402">
        <v>2438</v>
      </c>
      <c r="E123" s="403">
        <f>IF(C123&gt;=0.9*D123,D123,C123+0.1*D123)</f>
        <v>2438</v>
      </c>
      <c r="F123" s="395"/>
      <c r="G123" s="404">
        <f>E123+F123</f>
        <v>2438</v>
      </c>
      <c r="H123" s="405">
        <v>1.4632613908872902</v>
      </c>
      <c r="I123" s="395">
        <f>E123*H123</f>
        <v>3567.4312709832134</v>
      </c>
      <c r="J123" s="406"/>
      <c r="K123" s="407">
        <f>SUM(I123:J123)</f>
        <v>3567.4312709832134</v>
      </c>
      <c r="L123" s="403"/>
      <c r="M123" s="408">
        <f>IF(D123&gt;C123,C123-D123,0)</f>
        <v>0</v>
      </c>
      <c r="N123" s="409">
        <f>IF(D123&lt;C123,C123-D123,0)</f>
        <v>1523.5</v>
      </c>
      <c r="R123" s="410"/>
    </row>
    <row r="124" spans="1:18" ht="12.75" customHeight="1">
      <c r="A124" s="411" t="s">
        <v>278</v>
      </c>
      <c r="B124" s="412" t="s">
        <v>257</v>
      </c>
      <c r="C124" s="413">
        <v>242.5</v>
      </c>
      <c r="D124" s="414">
        <v>240</v>
      </c>
      <c r="E124" s="403">
        <f>IF(C124&gt;=0.9*D124,D124,C124+0.1*D124)</f>
        <v>240</v>
      </c>
      <c r="F124" s="432"/>
      <c r="G124" s="404">
        <f>E124+F124</f>
        <v>240</v>
      </c>
      <c r="H124" s="416">
        <v>1.8409484536082474</v>
      </c>
      <c r="I124" s="395">
        <f>E124*H124</f>
        <v>441.82762886597936</v>
      </c>
      <c r="J124" s="415"/>
      <c r="K124" s="407">
        <f>SUM(I124:J124)</f>
        <v>441.82762886597936</v>
      </c>
      <c r="L124" s="417"/>
      <c r="M124" s="408">
        <f>IF(D124&gt;C124,C124-D124,0)</f>
        <v>0</v>
      </c>
      <c r="N124" s="409">
        <f>IF(D124&lt;C124,C124-D124,0)</f>
        <v>2.5</v>
      </c>
      <c r="R124" s="410"/>
    </row>
    <row r="125" spans="1:18" ht="12.75" customHeight="1" thickBot="1">
      <c r="A125" s="419" t="s">
        <v>278</v>
      </c>
      <c r="B125" s="420" t="s">
        <v>258</v>
      </c>
      <c r="C125" s="401">
        <v>11599.5</v>
      </c>
      <c r="D125" s="402">
        <v>10320</v>
      </c>
      <c r="E125" s="403">
        <f>IF(C125&lt;D125,C125,D125)</f>
        <v>10320</v>
      </c>
      <c r="F125" s="432"/>
      <c r="G125" s="404">
        <f>E125+F125</f>
        <v>10320</v>
      </c>
      <c r="H125" s="405">
        <v>1.5109435751541014</v>
      </c>
      <c r="I125" s="395">
        <f>E125*H125</f>
        <v>15592.937695590326</v>
      </c>
      <c r="J125" s="415"/>
      <c r="K125" s="407">
        <f>SUM(I125:J125)</f>
        <v>15592.937695590326</v>
      </c>
      <c r="L125" s="417"/>
      <c r="M125" s="408">
        <f>IF(D125&gt;C125,C125-D125,0)</f>
        <v>0</v>
      </c>
      <c r="N125" s="409">
        <f>IF(D125&lt;C125,C125-D125,0)</f>
        <v>1279.5</v>
      </c>
      <c r="R125" s="410"/>
    </row>
    <row r="126" spans="1:18" ht="12.75" customHeight="1" thickBot="1">
      <c r="A126" s="421" t="s">
        <v>278</v>
      </c>
      <c r="B126" s="422" t="s">
        <v>106</v>
      </c>
      <c r="C126" s="423">
        <v>22919</v>
      </c>
      <c r="D126" s="424">
        <v>18214</v>
      </c>
      <c r="E126" s="424">
        <f>SUM(E121:E125)</f>
        <v>18214</v>
      </c>
      <c r="F126" s="425">
        <f>SUM(F121:F125)</f>
        <v>0</v>
      </c>
      <c r="G126" s="426">
        <f>SUM(G121:G125)</f>
        <v>18214</v>
      </c>
      <c r="H126" s="425"/>
      <c r="I126" s="425">
        <f>SUM(I121:I125)</f>
        <v>28367.825523835276</v>
      </c>
      <c r="J126" s="425">
        <f>SUM(J121:J125)</f>
        <v>0</v>
      </c>
      <c r="K126" s="427">
        <f>SUM(K121:K125)</f>
        <v>28367.825523835276</v>
      </c>
      <c r="L126" s="428">
        <f>ROUND(K126*$N$155/$K$150,0)</f>
        <v>712334</v>
      </c>
      <c r="M126" s="429">
        <f>SUM(M121:M125)</f>
        <v>0</v>
      </c>
      <c r="N126" s="430">
        <f>SUM(N121:N125)</f>
        <v>4705</v>
      </c>
      <c r="O126" s="418"/>
      <c r="R126" s="410"/>
    </row>
    <row r="127" spans="1:18" ht="12.75" customHeight="1">
      <c r="A127" s="434" t="s">
        <v>279</v>
      </c>
      <c r="B127" s="400" t="s">
        <v>254</v>
      </c>
      <c r="C127" s="401">
        <v>2960.5</v>
      </c>
      <c r="D127" s="402">
        <v>2471</v>
      </c>
      <c r="E127" s="403">
        <f>IF(C127&gt;=0.9*D127,D127,C127+0.1*D127)</f>
        <v>2471</v>
      </c>
      <c r="F127" s="395"/>
      <c r="G127" s="404">
        <f>E127+F127</f>
        <v>2471</v>
      </c>
      <c r="H127" s="405">
        <v>1.733730788718122</v>
      </c>
      <c r="I127" s="395">
        <f>E127*H127</f>
        <v>4284.048778922479</v>
      </c>
      <c r="J127" s="406"/>
      <c r="K127" s="407">
        <f>SUM(I127:J127)</f>
        <v>4284.048778922479</v>
      </c>
      <c r="L127" s="403"/>
      <c r="M127" s="408">
        <f>IF(D127&gt;C127,C127-D127,0)</f>
        <v>0</v>
      </c>
      <c r="N127" s="409">
        <f>IF(D127&lt;C127,C127-D127,0)</f>
        <v>489.5</v>
      </c>
      <c r="O127" s="418"/>
      <c r="R127" s="410"/>
    </row>
    <row r="128" spans="1:18" ht="12.75" customHeight="1">
      <c r="A128" s="399" t="s">
        <v>279</v>
      </c>
      <c r="B128" s="400" t="s">
        <v>255</v>
      </c>
      <c r="C128" s="401">
        <v>0</v>
      </c>
      <c r="D128" s="402">
        <v>0</v>
      </c>
      <c r="E128" s="403">
        <f>IF(C128&gt;=0.9*D128,D128,C128+0.1*D128)</f>
        <v>0</v>
      </c>
      <c r="F128" s="395"/>
      <c r="G128" s="404">
        <f>E128+F128</f>
        <v>0</v>
      </c>
      <c r="H128" s="405"/>
      <c r="I128" s="395">
        <f>E128*H128</f>
        <v>0</v>
      </c>
      <c r="J128" s="406"/>
      <c r="K128" s="407">
        <f>SUM(I128:J128)</f>
        <v>0</v>
      </c>
      <c r="L128" s="403"/>
      <c r="M128" s="408">
        <f>IF(D128&gt;C128,C128-D128,0)</f>
        <v>0</v>
      </c>
      <c r="N128" s="409">
        <f>IF(D128&lt;C128,C128-D128,0)</f>
        <v>0</v>
      </c>
      <c r="O128" s="418"/>
      <c r="R128" s="410"/>
    </row>
    <row r="129" spans="1:18" ht="12.75" customHeight="1">
      <c r="A129" s="399" t="s">
        <v>279</v>
      </c>
      <c r="B129" s="400" t="s">
        <v>256</v>
      </c>
      <c r="C129" s="401">
        <v>1293.5</v>
      </c>
      <c r="D129" s="402">
        <v>1137</v>
      </c>
      <c r="E129" s="403">
        <f>IF(C129&gt;=0.9*D129,D129,C129+0.1*D129)</f>
        <v>1137</v>
      </c>
      <c r="F129" s="395"/>
      <c r="G129" s="404">
        <f>E129+F129</f>
        <v>1137</v>
      </c>
      <c r="H129" s="405">
        <v>1.7433706996521068</v>
      </c>
      <c r="I129" s="395">
        <f>E129*H129</f>
        <v>1982.2124855044453</v>
      </c>
      <c r="J129" s="406"/>
      <c r="K129" s="407">
        <f>SUM(I129:J129)</f>
        <v>1982.2124855044453</v>
      </c>
      <c r="L129" s="403"/>
      <c r="M129" s="408">
        <f>IF(D129&gt;C129,C129-D129,0)</f>
        <v>0</v>
      </c>
      <c r="N129" s="409">
        <f>IF(D129&lt;C129,C129-D129,0)</f>
        <v>156.5</v>
      </c>
      <c r="O129" s="418"/>
      <c r="R129" s="410"/>
    </row>
    <row r="130" spans="1:18" ht="12.75" customHeight="1">
      <c r="A130" s="411" t="s">
        <v>279</v>
      </c>
      <c r="B130" s="412" t="s">
        <v>257</v>
      </c>
      <c r="C130" s="413">
        <v>176.5</v>
      </c>
      <c r="D130" s="414">
        <v>165</v>
      </c>
      <c r="E130" s="403">
        <f>IF(C130&gt;=0.9*D130,D130,C130+0.1*D130)</f>
        <v>165</v>
      </c>
      <c r="F130" s="432"/>
      <c r="G130" s="404">
        <f>E130+F130</f>
        <v>165</v>
      </c>
      <c r="H130" s="416">
        <v>2.00328611898017</v>
      </c>
      <c r="I130" s="395">
        <f>E130*H130</f>
        <v>330.54220963172804</v>
      </c>
      <c r="J130" s="415"/>
      <c r="K130" s="407">
        <f>SUM(I130:J130)</f>
        <v>330.54220963172804</v>
      </c>
      <c r="L130" s="417"/>
      <c r="M130" s="408">
        <f>IF(D130&gt;C130,C130-D130,0)</f>
        <v>0</v>
      </c>
      <c r="N130" s="409">
        <f>IF(D130&lt;C130,C130-D130,0)</f>
        <v>11.5</v>
      </c>
      <c r="O130" s="418"/>
      <c r="R130" s="410"/>
    </row>
    <row r="131" spans="1:18" ht="12.75" customHeight="1" thickBot="1">
      <c r="A131" s="399" t="s">
        <v>279</v>
      </c>
      <c r="B131" s="420" t="s">
        <v>258</v>
      </c>
      <c r="C131" s="401">
        <v>5763.5</v>
      </c>
      <c r="D131" s="402">
        <v>5757</v>
      </c>
      <c r="E131" s="403">
        <f>IF(C131&lt;D131,C131,D131)</f>
        <v>5757</v>
      </c>
      <c r="F131" s="432"/>
      <c r="G131" s="404">
        <f>E131+F131</f>
        <v>5757</v>
      </c>
      <c r="H131" s="405">
        <v>1.7447262947861542</v>
      </c>
      <c r="I131" s="395">
        <f>E131*H131</f>
        <v>10044.389279083889</v>
      </c>
      <c r="J131" s="415"/>
      <c r="K131" s="407">
        <f>SUM(I131:J131)</f>
        <v>10044.389279083889</v>
      </c>
      <c r="L131" s="417"/>
      <c r="M131" s="408">
        <f>IF(D131&gt;C131,C131-D131,0)</f>
        <v>0</v>
      </c>
      <c r="N131" s="409">
        <f>IF(D131&lt;C131,C131-D131,0)</f>
        <v>6.5</v>
      </c>
      <c r="O131" s="418"/>
      <c r="R131" s="410"/>
    </row>
    <row r="132" spans="1:18" ht="12.75" customHeight="1" thickBot="1">
      <c r="A132" s="421" t="s">
        <v>279</v>
      </c>
      <c r="B132" s="422" t="s">
        <v>106</v>
      </c>
      <c r="C132" s="423">
        <v>10194</v>
      </c>
      <c r="D132" s="424">
        <v>9530</v>
      </c>
      <c r="E132" s="424">
        <f>SUM(E127:E131)</f>
        <v>9530</v>
      </c>
      <c r="F132" s="425">
        <f>SUM(F127:F131)</f>
        <v>0</v>
      </c>
      <c r="G132" s="426">
        <f>SUM(G127:G131)</f>
        <v>9530</v>
      </c>
      <c r="H132" s="425"/>
      <c r="I132" s="425">
        <f>SUM(I127:I131)</f>
        <v>16641.192753142543</v>
      </c>
      <c r="J132" s="425">
        <f>SUM(J127:J131)</f>
        <v>0</v>
      </c>
      <c r="K132" s="427">
        <f>SUM(K127:K131)</f>
        <v>16641.192753142543</v>
      </c>
      <c r="L132" s="428">
        <f>ROUND(K132*$N$155/$K$150,0)</f>
        <v>417871</v>
      </c>
      <c r="M132" s="429">
        <f>SUM(M127:M131)</f>
        <v>0</v>
      </c>
      <c r="N132" s="430">
        <f>SUM(N127:N131)</f>
        <v>664</v>
      </c>
      <c r="O132" s="418"/>
      <c r="R132" s="410"/>
    </row>
    <row r="133" spans="1:18" ht="12.75" customHeight="1">
      <c r="A133" s="434" t="s">
        <v>281</v>
      </c>
      <c r="B133" s="400" t="s">
        <v>254</v>
      </c>
      <c r="C133" s="401">
        <v>1033.5</v>
      </c>
      <c r="D133" s="402">
        <v>1302</v>
      </c>
      <c r="E133" s="403">
        <f>IF(C133&gt;=0.9*D133,D133,C133+0.1*D133)</f>
        <v>1163.7</v>
      </c>
      <c r="F133" s="395"/>
      <c r="G133" s="404">
        <f>E133+F133</f>
        <v>1163.7</v>
      </c>
      <c r="H133" s="405">
        <v>1.2193033381712628</v>
      </c>
      <c r="I133" s="395">
        <f>E133*H133</f>
        <v>1418.9032946298985</v>
      </c>
      <c r="J133" s="406"/>
      <c r="K133" s="407">
        <f>SUM(I133:J133)</f>
        <v>1418.9032946298985</v>
      </c>
      <c r="L133" s="403"/>
      <c r="M133" s="408">
        <f>IF(D133&gt;C133,C133-D133,0)</f>
        <v>-268.5</v>
      </c>
      <c r="N133" s="409">
        <f>IF(D133&lt;C133,C133-D133,0)</f>
        <v>0</v>
      </c>
      <c r="R133" s="410"/>
    </row>
    <row r="134" spans="1:18" ht="12.75" customHeight="1">
      <c r="A134" s="399" t="s">
        <v>281</v>
      </c>
      <c r="B134" s="400" t="s">
        <v>255</v>
      </c>
      <c r="C134" s="401">
        <v>0</v>
      </c>
      <c r="D134" s="402">
        <v>0</v>
      </c>
      <c r="E134" s="403">
        <f>IF(C134&gt;=0.9*D134,D134,C134+0.1*D134)</f>
        <v>0</v>
      </c>
      <c r="F134" s="395"/>
      <c r="G134" s="404">
        <f>E134+F134</f>
        <v>0</v>
      </c>
      <c r="H134" s="405"/>
      <c r="I134" s="395">
        <f>E134*H134</f>
        <v>0</v>
      </c>
      <c r="J134" s="406"/>
      <c r="K134" s="407">
        <f>SUM(I134:J134)</f>
        <v>0</v>
      </c>
      <c r="L134" s="403"/>
      <c r="M134" s="408">
        <f>IF(D134&gt;C134,C134-D134,0)</f>
        <v>0</v>
      </c>
      <c r="N134" s="409">
        <f>IF(D134&lt;C134,C134-D134,0)</f>
        <v>0</v>
      </c>
      <c r="R134" s="410"/>
    </row>
    <row r="135" spans="1:18" ht="12.75" customHeight="1">
      <c r="A135" s="399" t="s">
        <v>281</v>
      </c>
      <c r="B135" s="400" t="s">
        <v>256</v>
      </c>
      <c r="C135" s="401">
        <v>0</v>
      </c>
      <c r="D135" s="402">
        <v>0</v>
      </c>
      <c r="E135" s="403">
        <f>IF(C135&gt;=0.9*D135,D135,C135+0.1*D135)</f>
        <v>0</v>
      </c>
      <c r="F135" s="395"/>
      <c r="G135" s="404">
        <f>E135+F135</f>
        <v>0</v>
      </c>
      <c r="H135" s="405"/>
      <c r="I135" s="395">
        <f>E135*H135</f>
        <v>0</v>
      </c>
      <c r="J135" s="406"/>
      <c r="K135" s="407">
        <f>SUM(I135:J135)</f>
        <v>0</v>
      </c>
      <c r="L135" s="403"/>
      <c r="M135" s="408">
        <f>IF(D135&gt;C135,C135-D135,0)</f>
        <v>0</v>
      </c>
      <c r="N135" s="409">
        <f>IF(D135&lt;C135,C135-D135,0)</f>
        <v>0</v>
      </c>
      <c r="R135" s="410"/>
    </row>
    <row r="136" spans="1:18" ht="12.75" customHeight="1">
      <c r="A136" s="411" t="s">
        <v>280</v>
      </c>
      <c r="B136" s="412" t="s">
        <v>257</v>
      </c>
      <c r="C136" s="413">
        <v>0</v>
      </c>
      <c r="D136" s="414">
        <v>0</v>
      </c>
      <c r="E136" s="403">
        <f>IF(C136&gt;=0.9*D136,D136,C136+0.1*D136)</f>
        <v>0</v>
      </c>
      <c r="F136" s="432"/>
      <c r="G136" s="404">
        <f>E136+F136</f>
        <v>0</v>
      </c>
      <c r="H136" s="416"/>
      <c r="I136" s="395">
        <f>E136*H136</f>
        <v>0</v>
      </c>
      <c r="J136" s="415"/>
      <c r="K136" s="407">
        <f>SUM(I136:J136)</f>
        <v>0</v>
      </c>
      <c r="L136" s="417"/>
      <c r="M136" s="408">
        <f>IF(D136&gt;C136,C136-D136,0)</f>
        <v>0</v>
      </c>
      <c r="N136" s="409">
        <f>IF(D136&lt;C136,C136-D136,0)</f>
        <v>0</v>
      </c>
      <c r="R136" s="410"/>
    </row>
    <row r="137" spans="1:18" ht="12.75" customHeight="1" thickBot="1">
      <c r="A137" s="419" t="s">
        <v>281</v>
      </c>
      <c r="B137" s="420" t="s">
        <v>258</v>
      </c>
      <c r="C137" s="401">
        <v>1623.5</v>
      </c>
      <c r="D137" s="402">
        <v>1852</v>
      </c>
      <c r="E137" s="403">
        <f>IF(C137&lt;D137,C137,D137)</f>
        <v>1623.5</v>
      </c>
      <c r="F137" s="432"/>
      <c r="G137" s="404">
        <f>E137+F137</f>
        <v>1623.5</v>
      </c>
      <c r="H137" s="405">
        <v>1.2370803818909764</v>
      </c>
      <c r="I137" s="395">
        <f>E137*H137</f>
        <v>2008.4</v>
      </c>
      <c r="J137" s="415"/>
      <c r="K137" s="407">
        <f>SUM(I137:J137)</f>
        <v>2008.4</v>
      </c>
      <c r="L137" s="417"/>
      <c r="M137" s="408">
        <f>IF(D137&gt;C137,C137-D137,0)</f>
        <v>-228.5</v>
      </c>
      <c r="N137" s="409">
        <f>IF(D137&lt;C137,C137-D137,0)</f>
        <v>0</v>
      </c>
      <c r="R137" s="410"/>
    </row>
    <row r="138" spans="1:18" ht="12.75" customHeight="1" thickBot="1">
      <c r="A138" s="421" t="s">
        <v>281</v>
      </c>
      <c r="B138" s="422" t="s">
        <v>106</v>
      </c>
      <c r="C138" s="423">
        <v>2657</v>
      </c>
      <c r="D138" s="424">
        <v>3154</v>
      </c>
      <c r="E138" s="424">
        <f>SUM(E133:E137)</f>
        <v>2787.2</v>
      </c>
      <c r="F138" s="425">
        <f>SUM(F133:F137)</f>
        <v>0</v>
      </c>
      <c r="G138" s="426">
        <f>SUM(G133:G137)</f>
        <v>2787.2</v>
      </c>
      <c r="H138" s="425"/>
      <c r="I138" s="425">
        <f>SUM(I133:I137)</f>
        <v>3427.3032946298986</v>
      </c>
      <c r="J138" s="425">
        <f>SUM(J133:J137)</f>
        <v>0</v>
      </c>
      <c r="K138" s="427">
        <f>SUM(K133:K137)</f>
        <v>3427.3032946298986</v>
      </c>
      <c r="L138" s="428">
        <f>ROUND(K138*$N$155/$K$150,0)</f>
        <v>86062</v>
      </c>
      <c r="M138" s="429">
        <f>SUM(M133:M137)</f>
        <v>-497</v>
      </c>
      <c r="N138" s="430">
        <f>SUM(N133:N137)</f>
        <v>0</v>
      </c>
      <c r="R138" s="410"/>
    </row>
    <row r="139" spans="1:18" ht="12.75" customHeight="1">
      <c r="A139" s="434" t="s">
        <v>283</v>
      </c>
      <c r="B139" s="400" t="s">
        <v>254</v>
      </c>
      <c r="C139" s="401">
        <v>1404</v>
      </c>
      <c r="D139" s="402">
        <v>1439</v>
      </c>
      <c r="E139" s="403">
        <f>IF(C139&gt;=0.9*D139,D139,C139+0.1*D139)</f>
        <v>1439</v>
      </c>
      <c r="F139" s="395"/>
      <c r="G139" s="404">
        <f>E139+F139</f>
        <v>1439</v>
      </c>
      <c r="H139" s="405">
        <v>1.1914387464387464</v>
      </c>
      <c r="I139" s="395">
        <f>E139*H139</f>
        <v>1714.480356125356</v>
      </c>
      <c r="J139" s="406"/>
      <c r="K139" s="407">
        <f>SUM(I139:J139)</f>
        <v>1714.480356125356</v>
      </c>
      <c r="L139" s="403"/>
      <c r="M139" s="408">
        <f>IF(D139&gt;C139,C139-D139,0)</f>
        <v>-35</v>
      </c>
      <c r="N139" s="409">
        <f>IF(D139&lt;C139,C139-D139,0)</f>
        <v>0</v>
      </c>
      <c r="R139" s="410"/>
    </row>
    <row r="140" spans="1:18" ht="12.75" customHeight="1">
      <c r="A140" s="399" t="s">
        <v>283</v>
      </c>
      <c r="B140" s="400" t="s">
        <v>255</v>
      </c>
      <c r="C140" s="401">
        <v>0</v>
      </c>
      <c r="D140" s="402">
        <v>0</v>
      </c>
      <c r="E140" s="403">
        <f>IF(C140&gt;=0.9*D140,D140,C140+0.1*D140)</f>
        <v>0</v>
      </c>
      <c r="F140" s="395"/>
      <c r="G140" s="404">
        <f>E140+F140</f>
        <v>0</v>
      </c>
      <c r="H140" s="405"/>
      <c r="I140" s="395">
        <f>E140*H140</f>
        <v>0</v>
      </c>
      <c r="J140" s="406"/>
      <c r="K140" s="407">
        <f>SUM(I140:J140)</f>
        <v>0</v>
      </c>
      <c r="L140" s="403"/>
      <c r="M140" s="408">
        <f>IF(D140&gt;C140,C140-D140,0)</f>
        <v>0</v>
      </c>
      <c r="N140" s="409">
        <f>IF(D140&lt;C140,C140-D140,0)</f>
        <v>0</v>
      </c>
      <c r="R140" s="410"/>
    </row>
    <row r="141" spans="1:18" ht="12.75" customHeight="1">
      <c r="A141" s="399" t="s">
        <v>283</v>
      </c>
      <c r="B141" s="400" t="s">
        <v>256</v>
      </c>
      <c r="C141" s="401">
        <v>0</v>
      </c>
      <c r="D141" s="402">
        <v>0</v>
      </c>
      <c r="E141" s="403">
        <f>IF(C141&gt;=0.9*D141,D141,C141+0.1*D141)</f>
        <v>0</v>
      </c>
      <c r="F141" s="395"/>
      <c r="G141" s="404">
        <f>E141+F141</f>
        <v>0</v>
      </c>
      <c r="H141" s="405"/>
      <c r="I141" s="395">
        <f>E141*H141</f>
        <v>0</v>
      </c>
      <c r="J141" s="406"/>
      <c r="K141" s="407">
        <f>SUM(I141:J141)</f>
        <v>0</v>
      </c>
      <c r="L141" s="403"/>
      <c r="M141" s="408">
        <f>IF(D141&gt;C141,C141-D141,0)</f>
        <v>0</v>
      </c>
      <c r="N141" s="409">
        <f>IF(D141&lt;C141,C141-D141,0)</f>
        <v>0</v>
      </c>
      <c r="R141" s="410"/>
    </row>
    <row r="142" spans="1:18" ht="12.75" customHeight="1">
      <c r="A142" s="411" t="s">
        <v>282</v>
      </c>
      <c r="B142" s="412" t="s">
        <v>257</v>
      </c>
      <c r="C142" s="413">
        <v>0</v>
      </c>
      <c r="D142" s="414">
        <v>0</v>
      </c>
      <c r="E142" s="403">
        <f>IF(C142&gt;=0.9*D142,D142,C142+0.1*D142)</f>
        <v>0</v>
      </c>
      <c r="F142" s="432"/>
      <c r="G142" s="404">
        <f>E142+F142</f>
        <v>0</v>
      </c>
      <c r="H142" s="416"/>
      <c r="I142" s="395">
        <f>E142*H142</f>
        <v>0</v>
      </c>
      <c r="J142" s="415"/>
      <c r="K142" s="407">
        <f>SUM(I142:J142)</f>
        <v>0</v>
      </c>
      <c r="L142" s="417"/>
      <c r="M142" s="408">
        <f>IF(D142&gt;C142,C142-D142,0)</f>
        <v>0</v>
      </c>
      <c r="N142" s="409">
        <f>IF(D142&lt;C142,C142-D142,0)</f>
        <v>0</v>
      </c>
      <c r="R142" s="410"/>
    </row>
    <row r="143" spans="1:18" ht="12.75" customHeight="1" thickBot="1">
      <c r="A143" s="419" t="s">
        <v>283</v>
      </c>
      <c r="B143" s="420" t="s">
        <v>258</v>
      </c>
      <c r="C143" s="401">
        <v>2037</v>
      </c>
      <c r="D143" s="402">
        <v>1770</v>
      </c>
      <c r="E143" s="403">
        <f>IF(C143&lt;D143,C143,D143)</f>
        <v>1770</v>
      </c>
      <c r="F143" s="432"/>
      <c r="G143" s="404">
        <f>E143+F143</f>
        <v>1770</v>
      </c>
      <c r="H143" s="405">
        <v>1.2249631811487482</v>
      </c>
      <c r="I143" s="395">
        <f>E143*H143</f>
        <v>2168.1848306332845</v>
      </c>
      <c r="J143" s="415"/>
      <c r="K143" s="407">
        <f>SUM(I143:J143)</f>
        <v>2168.1848306332845</v>
      </c>
      <c r="L143" s="417"/>
      <c r="M143" s="408">
        <f>IF(D143&gt;C143,C143-D143,0)</f>
        <v>0</v>
      </c>
      <c r="N143" s="409">
        <f>IF(D143&lt;C143,C143-D143,0)</f>
        <v>267</v>
      </c>
      <c r="R143" s="410"/>
    </row>
    <row r="144" spans="1:14" ht="12.75" customHeight="1" thickBot="1">
      <c r="A144" s="421" t="s">
        <v>283</v>
      </c>
      <c r="B144" s="422" t="s">
        <v>106</v>
      </c>
      <c r="C144" s="423">
        <v>3441</v>
      </c>
      <c r="D144" s="440">
        <v>3209</v>
      </c>
      <c r="E144" s="441">
        <f>SUM(E139:E143)</f>
        <v>3209</v>
      </c>
      <c r="F144" s="426">
        <f>SUM(F139:F143)</f>
        <v>0</v>
      </c>
      <c r="G144" s="426">
        <f>SUM(G139:G143)</f>
        <v>3209</v>
      </c>
      <c r="H144" s="425"/>
      <c r="I144" s="425">
        <f>SUM(I139:I143)</f>
        <v>3882.6651867586406</v>
      </c>
      <c r="J144" s="425">
        <f>SUM(J139:J143)</f>
        <v>0</v>
      </c>
      <c r="K144" s="427">
        <f>SUM(K139:K143)</f>
        <v>3882.6651867586406</v>
      </c>
      <c r="L144" s="428">
        <f>ROUND(K144*$N$155/$K$150,0)</f>
        <v>97496</v>
      </c>
      <c r="M144" s="429">
        <f>SUM(M139:M143)</f>
        <v>-35</v>
      </c>
      <c r="N144" s="430">
        <f>SUM(N139:N143)</f>
        <v>267</v>
      </c>
    </row>
    <row r="145" spans="1:14" ht="12.75">
      <c r="A145" s="531" t="s">
        <v>284</v>
      </c>
      <c r="B145" s="532" t="s">
        <v>254</v>
      </c>
      <c r="C145" s="533">
        <f aca="true" t="shared" si="0" ref="C145:N150">C13+C19+C25+C31+C37+C43+C49+C55+C61+C67+C73+C79+C85+C91+C97+C103+C109+C115+C121+C127+C133+C139</f>
        <v>81926.5</v>
      </c>
      <c r="D145" s="534">
        <f t="shared" si="0"/>
        <v>76283</v>
      </c>
      <c r="E145" s="535">
        <f t="shared" si="0"/>
        <v>76136.7</v>
      </c>
      <c r="F145" s="537">
        <f t="shared" si="0"/>
        <v>0</v>
      </c>
      <c r="G145" s="540">
        <f>G13+G19+G25+G31+G37+G43+G49+G55+G61+G67+G73+G79+G85+G91+G97+G103+G109+G115+G121+G127+G133+G139</f>
        <v>76136.7</v>
      </c>
      <c r="H145" s="540">
        <f t="shared" si="0"/>
        <v>36.60596556835652</v>
      </c>
      <c r="I145" s="540">
        <f t="shared" si="0"/>
        <v>119064.29426809706</v>
      </c>
      <c r="J145" s="540">
        <f t="shared" si="0"/>
        <v>0</v>
      </c>
      <c r="K145" s="537">
        <f t="shared" si="0"/>
        <v>119064.29426809706</v>
      </c>
      <c r="L145" s="535">
        <f t="shared" si="0"/>
        <v>0</v>
      </c>
      <c r="M145" s="543">
        <f t="shared" si="0"/>
        <v>-1847</v>
      </c>
      <c r="N145" s="536">
        <f t="shared" si="0"/>
        <v>7490.5</v>
      </c>
    </row>
    <row r="146" spans="1:14" ht="12.75">
      <c r="A146" s="519" t="s">
        <v>284</v>
      </c>
      <c r="B146" s="520" t="s">
        <v>255</v>
      </c>
      <c r="C146" s="521">
        <f t="shared" si="0"/>
        <v>5638</v>
      </c>
      <c r="D146" s="525">
        <f t="shared" si="0"/>
        <v>5791</v>
      </c>
      <c r="E146" s="529">
        <f t="shared" si="0"/>
        <v>5724.299999999999</v>
      </c>
      <c r="F146" s="538">
        <f t="shared" si="0"/>
        <v>326</v>
      </c>
      <c r="G146" s="541">
        <f t="shared" si="0"/>
        <v>6050.299999999999</v>
      </c>
      <c r="H146" s="541">
        <f t="shared" si="0"/>
        <v>16.329321860419736</v>
      </c>
      <c r="I146" s="541">
        <f t="shared" si="0"/>
        <v>10697.401098875607</v>
      </c>
      <c r="J146" s="541">
        <f t="shared" si="0"/>
        <v>1141</v>
      </c>
      <c r="K146" s="538">
        <f t="shared" si="0"/>
        <v>11838.401098875605</v>
      </c>
      <c r="L146" s="529">
        <f t="shared" si="0"/>
        <v>0</v>
      </c>
      <c r="M146" s="544">
        <f t="shared" si="0"/>
        <v>-244</v>
      </c>
      <c r="N146" s="527">
        <f t="shared" si="0"/>
        <v>91</v>
      </c>
    </row>
    <row r="147" spans="1:14" ht="12.75">
      <c r="A147" s="519" t="s">
        <v>284</v>
      </c>
      <c r="B147" s="520" t="s">
        <v>256</v>
      </c>
      <c r="C147" s="521">
        <f t="shared" si="0"/>
        <v>35372</v>
      </c>
      <c r="D147" s="525">
        <f t="shared" si="0"/>
        <v>30331</v>
      </c>
      <c r="E147" s="529">
        <f t="shared" si="0"/>
        <v>30325.1</v>
      </c>
      <c r="F147" s="538">
        <f t="shared" si="0"/>
        <v>0</v>
      </c>
      <c r="G147" s="541">
        <f t="shared" si="0"/>
        <v>30325.1</v>
      </c>
      <c r="H147" s="541">
        <f t="shared" si="0"/>
        <v>32.97811936425681</v>
      </c>
      <c r="I147" s="541">
        <f t="shared" si="0"/>
        <v>45305.55342200193</v>
      </c>
      <c r="J147" s="541">
        <f t="shared" si="0"/>
        <v>0</v>
      </c>
      <c r="K147" s="538">
        <f t="shared" si="0"/>
        <v>45305.55342200193</v>
      </c>
      <c r="L147" s="529">
        <f t="shared" si="0"/>
        <v>0</v>
      </c>
      <c r="M147" s="544">
        <f t="shared" si="0"/>
        <v>-107</v>
      </c>
      <c r="N147" s="527">
        <f t="shared" si="0"/>
        <v>5148</v>
      </c>
    </row>
    <row r="148" spans="1:14" ht="12.75">
      <c r="A148" s="519" t="s">
        <v>284</v>
      </c>
      <c r="B148" s="520" t="s">
        <v>257</v>
      </c>
      <c r="C148" s="521">
        <f t="shared" si="0"/>
        <v>5064.5</v>
      </c>
      <c r="D148" s="525">
        <f t="shared" si="0"/>
        <v>5392</v>
      </c>
      <c r="E148" s="529">
        <f t="shared" si="0"/>
        <v>5289.799999999999</v>
      </c>
      <c r="F148" s="538">
        <f t="shared" si="0"/>
        <v>5</v>
      </c>
      <c r="G148" s="541">
        <f t="shared" si="0"/>
        <v>5294.799999999999</v>
      </c>
      <c r="H148" s="541">
        <f t="shared" si="0"/>
        <v>36.805281766045745</v>
      </c>
      <c r="I148" s="541">
        <f t="shared" si="0"/>
        <v>9652.525626263156</v>
      </c>
      <c r="J148" s="541">
        <f t="shared" si="0"/>
        <v>14</v>
      </c>
      <c r="K148" s="538">
        <f t="shared" si="0"/>
        <v>9666.525626263156</v>
      </c>
      <c r="L148" s="529">
        <f t="shared" si="0"/>
        <v>0</v>
      </c>
      <c r="M148" s="544">
        <f t="shared" si="0"/>
        <v>-425</v>
      </c>
      <c r="N148" s="527">
        <f t="shared" si="0"/>
        <v>97.5</v>
      </c>
    </row>
    <row r="149" spans="1:14" ht="12.75">
      <c r="A149" s="519" t="s">
        <v>284</v>
      </c>
      <c r="B149" s="520" t="s">
        <v>258</v>
      </c>
      <c r="C149" s="521">
        <f t="shared" si="0"/>
        <v>191008</v>
      </c>
      <c r="D149" s="525">
        <f t="shared" si="0"/>
        <v>181872</v>
      </c>
      <c r="E149" s="529">
        <f t="shared" si="0"/>
        <v>181491.5</v>
      </c>
      <c r="F149" s="538">
        <f t="shared" si="0"/>
        <v>1285</v>
      </c>
      <c r="G149" s="541">
        <f t="shared" si="0"/>
        <v>182776.5</v>
      </c>
      <c r="H149" s="541">
        <f t="shared" si="0"/>
        <v>35.72535153988818</v>
      </c>
      <c r="I149" s="541">
        <f t="shared" si="0"/>
        <v>283304.4208151617</v>
      </c>
      <c r="J149" s="541">
        <f t="shared" si="0"/>
        <v>4480.7</v>
      </c>
      <c r="K149" s="538">
        <f t="shared" si="0"/>
        <v>287785.12081516173</v>
      </c>
      <c r="L149" s="529">
        <f t="shared" si="0"/>
        <v>0</v>
      </c>
      <c r="M149" s="544">
        <f t="shared" si="0"/>
        <v>-380.5</v>
      </c>
      <c r="N149" s="527">
        <f t="shared" si="0"/>
        <v>9516.5</v>
      </c>
    </row>
    <row r="150" spans="1:14" ht="12.75" customHeight="1" thickBot="1">
      <c r="A150" s="522" t="s">
        <v>284</v>
      </c>
      <c r="B150" s="523" t="s">
        <v>106</v>
      </c>
      <c r="C150" s="524">
        <f t="shared" si="0"/>
        <v>319009</v>
      </c>
      <c r="D150" s="526">
        <f t="shared" si="0"/>
        <v>299669</v>
      </c>
      <c r="E150" s="530">
        <f t="shared" si="0"/>
        <v>298967.4000000001</v>
      </c>
      <c r="F150" s="539">
        <f t="shared" si="0"/>
        <v>1616</v>
      </c>
      <c r="G150" s="542">
        <f t="shared" si="0"/>
        <v>300583.4000000001</v>
      </c>
      <c r="H150" s="542">
        <f t="shared" si="0"/>
        <v>0</v>
      </c>
      <c r="I150" s="542">
        <f t="shared" si="0"/>
        <v>468024.1952303995</v>
      </c>
      <c r="J150" s="542">
        <f t="shared" si="0"/>
        <v>5635.700000000001</v>
      </c>
      <c r="K150" s="539">
        <f t="shared" si="0"/>
        <v>473659.89523039944</v>
      </c>
      <c r="L150" s="530">
        <f t="shared" si="0"/>
        <v>11893893</v>
      </c>
      <c r="M150" s="545">
        <f t="shared" si="0"/>
        <v>-3003.5</v>
      </c>
      <c r="N150" s="528">
        <f t="shared" si="0"/>
        <v>22343.5</v>
      </c>
    </row>
    <row r="151" spans="3:14" ht="12.75" customHeight="1" thickTop="1">
      <c r="C151" s="442"/>
      <c r="E151" s="360"/>
      <c r="G151" s="360"/>
      <c r="L151" s="355"/>
      <c r="N151" s="355"/>
    </row>
    <row r="152" spans="3:14" ht="12.75" customHeight="1">
      <c r="C152" s="442"/>
      <c r="E152" s="360"/>
      <c r="G152" s="360"/>
      <c r="J152" s="443" t="s">
        <v>322</v>
      </c>
      <c r="K152" s="444"/>
      <c r="L152" s="444"/>
      <c r="M152" s="445"/>
      <c r="N152" s="446">
        <f>K150</f>
        <v>473659.89523039944</v>
      </c>
    </row>
    <row r="153" spans="3:14" ht="12.75" customHeight="1">
      <c r="C153" s="442"/>
      <c r="E153" s="360"/>
      <c r="G153" s="360"/>
      <c r="J153" s="443" t="s">
        <v>285</v>
      </c>
      <c r="K153" s="444"/>
      <c r="L153" s="444"/>
      <c r="M153" s="445"/>
      <c r="N153" s="446">
        <f>N154/N152*1000</f>
        <v>25110.61865226003</v>
      </c>
    </row>
    <row r="154" spans="3:14" ht="12.75" customHeight="1">
      <c r="C154" s="442"/>
      <c r="E154" s="360"/>
      <c r="G154" s="360"/>
      <c r="J154" s="400" t="s">
        <v>286</v>
      </c>
      <c r="K154" s="444"/>
      <c r="L154" s="444"/>
      <c r="M154" s="445"/>
      <c r="N154" s="446">
        <f>L150</f>
        <v>11893893</v>
      </c>
    </row>
    <row r="155" spans="3:14" ht="12.75" customHeight="1">
      <c r="C155" s="442"/>
      <c r="E155" s="360"/>
      <c r="G155" s="360"/>
      <c r="J155" s="447" t="s">
        <v>287</v>
      </c>
      <c r="K155" s="448"/>
      <c r="L155" s="448"/>
      <c r="M155" s="449"/>
      <c r="N155" s="450">
        <v>11893891</v>
      </c>
    </row>
    <row r="156" spans="3:14" ht="12.75" customHeight="1">
      <c r="C156" s="442"/>
      <c r="E156" s="360"/>
      <c r="G156" s="360"/>
      <c r="L156" s="355"/>
      <c r="N156" s="360">
        <f>1_Bilance!O16*(1-0.035)</f>
        <v>11893893.27</v>
      </c>
    </row>
    <row r="157" spans="1:14" ht="19.5" customHeight="1">
      <c r="A157" s="451" t="s">
        <v>288</v>
      </c>
      <c r="C157" s="442"/>
      <c r="E157" s="410"/>
      <c r="G157" s="360"/>
      <c r="L157" s="355"/>
      <c r="N157"/>
    </row>
    <row r="158" s="452" customFormat="1" ht="12.75"/>
    <row r="159" spans="1:14" ht="19.5" customHeight="1">
      <c r="A159" s="453" t="s">
        <v>289</v>
      </c>
      <c r="C159" s="442"/>
      <c r="E159" s="360"/>
      <c r="G159" s="360"/>
      <c r="L159" s="355"/>
      <c r="N159" s="355"/>
    </row>
    <row r="160" spans="1:14" ht="19.5" customHeight="1">
      <c r="A160" s="453" t="s">
        <v>290</v>
      </c>
      <c r="C160" s="442"/>
      <c r="E160" s="360"/>
      <c r="G160" s="360"/>
      <c r="L160" s="355"/>
      <c r="N160" s="355"/>
    </row>
    <row r="161" spans="3:14" ht="18" customHeight="1" thickBot="1">
      <c r="C161" s="442"/>
      <c r="E161" s="360"/>
      <c r="G161" s="360"/>
      <c r="I161" s="1046" t="s">
        <v>323</v>
      </c>
      <c r="J161" s="1046"/>
      <c r="K161" s="1046"/>
      <c r="L161" s="355"/>
      <c r="N161" s="355"/>
    </row>
    <row r="162" spans="1:14" ht="12.75" customHeight="1" thickTop="1">
      <c r="A162" s="454" t="s">
        <v>291</v>
      </c>
      <c r="B162" s="455" t="s">
        <v>254</v>
      </c>
      <c r="C162" s="456">
        <v>186</v>
      </c>
      <c r="D162" s="546"/>
      <c r="E162" s="550"/>
      <c r="F162" s="458"/>
      <c r="G162" s="458">
        <f aca="true" t="shared" si="1" ref="G162:G185">E162+F162</f>
        <v>0</v>
      </c>
      <c r="H162" s="459"/>
      <c r="I162" s="457">
        <f aca="true" t="shared" si="2" ref="I162:I184">E162*H162</f>
        <v>0</v>
      </c>
      <c r="J162" s="460"/>
      <c r="K162" s="461"/>
      <c r="L162" s="550"/>
      <c r="M162" s="555">
        <f>IF(D162&gt;C162,C162-D162,0)</f>
        <v>0</v>
      </c>
      <c r="N162" s="462"/>
    </row>
    <row r="163" spans="1:14" ht="12.75" customHeight="1">
      <c r="A163" s="463" t="s">
        <v>291</v>
      </c>
      <c r="B163" s="400" t="s">
        <v>255</v>
      </c>
      <c r="C163" s="401">
        <v>22</v>
      </c>
      <c r="D163" s="547"/>
      <c r="E163" s="551"/>
      <c r="F163" s="404"/>
      <c r="G163" s="404">
        <f t="shared" si="1"/>
        <v>0</v>
      </c>
      <c r="H163" s="405"/>
      <c r="I163" s="395">
        <f t="shared" si="2"/>
        <v>0</v>
      </c>
      <c r="J163" s="406"/>
      <c r="K163" s="407"/>
      <c r="L163" s="551"/>
      <c r="M163" s="556">
        <f>IF(D163&gt;C163,C163-D163,0)</f>
        <v>0</v>
      </c>
      <c r="N163" s="409"/>
    </row>
    <row r="164" spans="1:14" ht="12.75" customHeight="1">
      <c r="A164" s="463" t="s">
        <v>291</v>
      </c>
      <c r="B164" s="400" t="s">
        <v>256</v>
      </c>
      <c r="C164" s="401">
        <v>199</v>
      </c>
      <c r="D164" s="547"/>
      <c r="E164" s="551"/>
      <c r="F164" s="404"/>
      <c r="G164" s="404">
        <f t="shared" si="1"/>
        <v>0</v>
      </c>
      <c r="H164" s="405"/>
      <c r="I164" s="395">
        <f t="shared" si="2"/>
        <v>0</v>
      </c>
      <c r="J164" s="406"/>
      <c r="K164" s="407"/>
      <c r="L164" s="551"/>
      <c r="M164" s="556">
        <f>IF(D164&gt;C164,C164-D164,0)</f>
        <v>0</v>
      </c>
      <c r="N164" s="409"/>
    </row>
    <row r="165" spans="1:14" ht="12.75" customHeight="1">
      <c r="A165" s="464" t="s">
        <v>291</v>
      </c>
      <c r="B165" s="412" t="s">
        <v>257</v>
      </c>
      <c r="C165" s="413">
        <v>24</v>
      </c>
      <c r="D165" s="548"/>
      <c r="E165" s="552"/>
      <c r="F165" s="549"/>
      <c r="G165" s="404">
        <f t="shared" si="1"/>
        <v>0</v>
      </c>
      <c r="H165" s="416"/>
      <c r="I165" s="395">
        <f t="shared" si="2"/>
        <v>0</v>
      </c>
      <c r="J165" s="415"/>
      <c r="K165" s="407"/>
      <c r="L165" s="560"/>
      <c r="M165" s="556">
        <f>IF(D165&gt;C165,C165-D165,0)</f>
        <v>0</v>
      </c>
      <c r="N165" s="409"/>
    </row>
    <row r="166" spans="1:14" ht="12.75" customHeight="1" thickBot="1">
      <c r="A166" s="465" t="s">
        <v>291</v>
      </c>
      <c r="B166" s="420" t="s">
        <v>258</v>
      </c>
      <c r="C166" s="401">
        <v>772</v>
      </c>
      <c r="D166" s="547"/>
      <c r="E166" s="551"/>
      <c r="F166" s="549"/>
      <c r="G166" s="404">
        <f t="shared" si="1"/>
        <v>0</v>
      </c>
      <c r="H166" s="405"/>
      <c r="I166" s="395">
        <f t="shared" si="2"/>
        <v>0</v>
      </c>
      <c r="J166" s="415"/>
      <c r="K166" s="407"/>
      <c r="L166" s="560"/>
      <c r="M166" s="556">
        <f>IF(D166&gt;C166,C166-D166,0)</f>
        <v>0</v>
      </c>
      <c r="N166" s="409"/>
    </row>
    <row r="167" spans="1:14" ht="12.75" customHeight="1" thickBot="1">
      <c r="A167" s="466" t="s">
        <v>291</v>
      </c>
      <c r="B167" s="422" t="s">
        <v>106</v>
      </c>
      <c r="C167" s="423">
        <v>1203</v>
      </c>
      <c r="D167" s="440">
        <v>1256</v>
      </c>
      <c r="E167" s="441">
        <f>IF(C167&gt;=0.9*D167,D167,C167+0.1*D167)</f>
        <v>1256</v>
      </c>
      <c r="F167" s="426">
        <f>SUM(F162:F166)</f>
        <v>0</v>
      </c>
      <c r="G167" s="426">
        <f t="shared" si="1"/>
        <v>1256</v>
      </c>
      <c r="H167" s="467">
        <v>0.4585</v>
      </c>
      <c r="I167" s="425">
        <f>E167*$N$196</f>
        <v>7874.930032665923</v>
      </c>
      <c r="J167" s="425">
        <f>SUM(J162:J166)</f>
        <v>0</v>
      </c>
      <c r="K167" s="554">
        <f>I167+J167</f>
        <v>7874.930032665923</v>
      </c>
      <c r="L167" s="428">
        <f>ROUND(H167*$N$197,0)</f>
        <v>197790</v>
      </c>
      <c r="M167" s="426">
        <f>SUM(M162:M166)</f>
        <v>0</v>
      </c>
      <c r="N167" s="430"/>
    </row>
    <row r="168" spans="1:14" ht="12.75" customHeight="1">
      <c r="A168" s="468" t="s">
        <v>292</v>
      </c>
      <c r="B168" s="400" t="s">
        <v>254</v>
      </c>
      <c r="C168" s="401">
        <v>0</v>
      </c>
      <c r="D168" s="547"/>
      <c r="E168" s="551"/>
      <c r="F168" s="404"/>
      <c r="G168" s="404">
        <f t="shared" si="1"/>
        <v>0</v>
      </c>
      <c r="H168" s="405"/>
      <c r="I168" s="395">
        <f t="shared" si="2"/>
        <v>0</v>
      </c>
      <c r="J168" s="406"/>
      <c r="K168" s="407"/>
      <c r="L168" s="551"/>
      <c r="M168" s="556">
        <f>IF(D168&gt;C168,C168-D168,0)</f>
        <v>0</v>
      </c>
      <c r="N168" s="409"/>
    </row>
    <row r="169" spans="1:14" ht="12.75" customHeight="1">
      <c r="A169" s="463" t="s">
        <v>292</v>
      </c>
      <c r="B169" s="400" t="s">
        <v>255</v>
      </c>
      <c r="C169" s="401">
        <v>55</v>
      </c>
      <c r="D169" s="547"/>
      <c r="E169" s="551"/>
      <c r="F169" s="404"/>
      <c r="G169" s="404">
        <f t="shared" si="1"/>
        <v>0</v>
      </c>
      <c r="H169" s="405"/>
      <c r="I169" s="395">
        <f t="shared" si="2"/>
        <v>0</v>
      </c>
      <c r="J169" s="406"/>
      <c r="K169" s="407"/>
      <c r="L169" s="551"/>
      <c r="M169" s="556">
        <f>IF(D169&gt;C169,C169-D169,0)</f>
        <v>0</v>
      </c>
      <c r="N169" s="409"/>
    </row>
    <row r="170" spans="1:14" ht="12.75" customHeight="1">
      <c r="A170" s="463" t="s">
        <v>292</v>
      </c>
      <c r="B170" s="400" t="s">
        <v>256</v>
      </c>
      <c r="C170" s="401">
        <v>0</v>
      </c>
      <c r="D170" s="547"/>
      <c r="E170" s="551"/>
      <c r="F170" s="404"/>
      <c r="G170" s="404">
        <f t="shared" si="1"/>
        <v>0</v>
      </c>
      <c r="H170" s="405"/>
      <c r="I170" s="395">
        <f t="shared" si="2"/>
        <v>0</v>
      </c>
      <c r="J170" s="406"/>
      <c r="K170" s="407"/>
      <c r="L170" s="551"/>
      <c r="M170" s="556">
        <f>IF(D170&gt;C170,C170-D170,0)</f>
        <v>0</v>
      </c>
      <c r="N170" s="409"/>
    </row>
    <row r="171" spans="1:14" ht="12.75" customHeight="1">
      <c r="A171" s="464" t="s">
        <v>292</v>
      </c>
      <c r="B171" s="412" t="s">
        <v>257</v>
      </c>
      <c r="C171" s="413">
        <v>5</v>
      </c>
      <c r="D171" s="548"/>
      <c r="E171" s="552"/>
      <c r="F171" s="549"/>
      <c r="G171" s="404">
        <f t="shared" si="1"/>
        <v>0</v>
      </c>
      <c r="H171" s="416"/>
      <c r="I171" s="395">
        <f t="shared" si="2"/>
        <v>0</v>
      </c>
      <c r="J171" s="415"/>
      <c r="K171" s="407"/>
      <c r="L171" s="560"/>
      <c r="M171" s="556">
        <f>IF(D171&gt;C171,C171-D171,0)</f>
        <v>0</v>
      </c>
      <c r="N171" s="409"/>
    </row>
    <row r="172" spans="1:14" ht="12.75" customHeight="1" thickBot="1">
      <c r="A172" s="465" t="s">
        <v>292</v>
      </c>
      <c r="B172" s="420" t="s">
        <v>258</v>
      </c>
      <c r="C172" s="401">
        <v>254.5</v>
      </c>
      <c r="D172" s="547"/>
      <c r="E172" s="551"/>
      <c r="F172" s="549"/>
      <c r="G172" s="404">
        <f t="shared" si="1"/>
        <v>0</v>
      </c>
      <c r="H172" s="405"/>
      <c r="I172" s="395">
        <f t="shared" si="2"/>
        <v>0</v>
      </c>
      <c r="J172" s="415"/>
      <c r="K172" s="407"/>
      <c r="L172" s="560"/>
      <c r="M172" s="556">
        <f>IF(D172&gt;C172,C172-D172,0)</f>
        <v>0</v>
      </c>
      <c r="N172" s="409"/>
    </row>
    <row r="173" spans="1:14" ht="12.75" customHeight="1" thickBot="1">
      <c r="A173" s="466" t="s">
        <v>292</v>
      </c>
      <c r="B173" s="422" t="s">
        <v>106</v>
      </c>
      <c r="C173" s="423">
        <v>314.5</v>
      </c>
      <c r="D173" s="440">
        <v>327</v>
      </c>
      <c r="E173" s="441">
        <f>IF(C173&gt;=0.9*D173,D173,C173+0.1*D173)</f>
        <v>327</v>
      </c>
      <c r="F173" s="426">
        <f>SUM(F168:F172)</f>
        <v>0</v>
      </c>
      <c r="G173" s="426">
        <f t="shared" si="1"/>
        <v>327</v>
      </c>
      <c r="H173" s="467">
        <v>0.1195</v>
      </c>
      <c r="I173" s="425">
        <f>E173*$N$196</f>
        <v>2050.240541944074</v>
      </c>
      <c r="J173" s="425">
        <f>SUM(J168:J172)</f>
        <v>0</v>
      </c>
      <c r="K173" s="554">
        <f>I173+J173</f>
        <v>2050.240541944074</v>
      </c>
      <c r="L173" s="428">
        <f>ROUND(H173*$N$197,0)</f>
        <v>51551</v>
      </c>
      <c r="M173" s="426">
        <f>SUM(M168:M172)</f>
        <v>0</v>
      </c>
      <c r="N173" s="430"/>
    </row>
    <row r="174" spans="1:14" ht="12.75" customHeight="1">
      <c r="A174" s="468" t="s">
        <v>293</v>
      </c>
      <c r="B174" s="400" t="s">
        <v>254</v>
      </c>
      <c r="C174" s="401">
        <v>70.5</v>
      </c>
      <c r="D174" s="547"/>
      <c r="E174" s="551"/>
      <c r="F174" s="404"/>
      <c r="G174" s="404">
        <f t="shared" si="1"/>
        <v>0</v>
      </c>
      <c r="H174" s="405"/>
      <c r="I174" s="395">
        <f t="shared" si="2"/>
        <v>0</v>
      </c>
      <c r="J174" s="406"/>
      <c r="K174" s="407"/>
      <c r="L174" s="551"/>
      <c r="M174" s="556">
        <f>IF(D174&gt;C174,C174-D174,0)</f>
        <v>0</v>
      </c>
      <c r="N174" s="409"/>
    </row>
    <row r="175" spans="1:14" ht="12.75" customHeight="1">
      <c r="A175" s="463" t="s">
        <v>293</v>
      </c>
      <c r="B175" s="400" t="s">
        <v>255</v>
      </c>
      <c r="C175" s="401">
        <v>0</v>
      </c>
      <c r="D175" s="547"/>
      <c r="E175" s="551"/>
      <c r="F175" s="404"/>
      <c r="G175" s="404">
        <f t="shared" si="1"/>
        <v>0</v>
      </c>
      <c r="H175" s="405"/>
      <c r="I175" s="395">
        <f t="shared" si="2"/>
        <v>0</v>
      </c>
      <c r="J175" s="406"/>
      <c r="K175" s="407"/>
      <c r="L175" s="551"/>
      <c r="M175" s="556">
        <f>IF(D175&gt;C175,C175-D175,0)</f>
        <v>0</v>
      </c>
      <c r="N175" s="409"/>
    </row>
    <row r="176" spans="1:14" ht="12.75" customHeight="1">
      <c r="A176" s="463" t="s">
        <v>293</v>
      </c>
      <c r="B176" s="400" t="s">
        <v>256</v>
      </c>
      <c r="C176" s="401">
        <v>79</v>
      </c>
      <c r="D176" s="547"/>
      <c r="E176" s="551"/>
      <c r="F176" s="404"/>
      <c r="G176" s="404">
        <f t="shared" si="1"/>
        <v>0</v>
      </c>
      <c r="H176" s="405"/>
      <c r="I176" s="395">
        <f t="shared" si="2"/>
        <v>0</v>
      </c>
      <c r="J176" s="406"/>
      <c r="K176" s="407"/>
      <c r="L176" s="551"/>
      <c r="M176" s="556">
        <f>IF(D176&gt;C176,C176-D176,0)</f>
        <v>0</v>
      </c>
      <c r="N176" s="409"/>
    </row>
    <row r="177" spans="1:14" ht="12.75" customHeight="1">
      <c r="A177" s="464" t="s">
        <v>293</v>
      </c>
      <c r="B177" s="412" t="s">
        <v>257</v>
      </c>
      <c r="C177" s="413">
        <v>7</v>
      </c>
      <c r="D177" s="548"/>
      <c r="E177" s="552"/>
      <c r="F177" s="549"/>
      <c r="G177" s="404">
        <f t="shared" si="1"/>
        <v>0</v>
      </c>
      <c r="H177" s="416"/>
      <c r="I177" s="395">
        <f t="shared" si="2"/>
        <v>0</v>
      </c>
      <c r="J177" s="415"/>
      <c r="K177" s="407"/>
      <c r="L177" s="560"/>
      <c r="M177" s="556">
        <f>IF(D177&gt;C177,C177-D177,0)</f>
        <v>0</v>
      </c>
      <c r="N177" s="409"/>
    </row>
    <row r="178" spans="1:14" ht="12.75" customHeight="1" thickBot="1">
      <c r="A178" s="465" t="s">
        <v>293</v>
      </c>
      <c r="B178" s="420" t="s">
        <v>258</v>
      </c>
      <c r="C178" s="401">
        <v>284</v>
      </c>
      <c r="D178" s="547"/>
      <c r="E178" s="551"/>
      <c r="F178" s="549"/>
      <c r="G178" s="404">
        <f t="shared" si="1"/>
        <v>0</v>
      </c>
      <c r="H178" s="405"/>
      <c r="I178" s="395">
        <f t="shared" si="2"/>
        <v>0</v>
      </c>
      <c r="J178" s="415"/>
      <c r="K178" s="407"/>
      <c r="L178" s="560"/>
      <c r="M178" s="556">
        <f>IF(D178&gt;C178,C178-D178,0)</f>
        <v>0</v>
      </c>
      <c r="N178" s="409"/>
    </row>
    <row r="179" spans="1:14" ht="12.75" customHeight="1" thickBot="1">
      <c r="A179" s="466" t="s">
        <v>293</v>
      </c>
      <c r="B179" s="422" t="s">
        <v>106</v>
      </c>
      <c r="C179" s="423">
        <v>440.5</v>
      </c>
      <c r="D179" s="440">
        <v>467</v>
      </c>
      <c r="E179" s="441">
        <f>IF(C179&gt;=0.9*D179,D179,C179+0.1*D179)</f>
        <v>467</v>
      </c>
      <c r="F179" s="426">
        <f>SUM(F174:F178)</f>
        <v>0</v>
      </c>
      <c r="G179" s="426">
        <f t="shared" si="1"/>
        <v>467</v>
      </c>
      <c r="H179" s="467">
        <v>0.17</v>
      </c>
      <c r="I179" s="425">
        <f>E179*$N$196</f>
        <v>2928.019367241231</v>
      </c>
      <c r="J179" s="425">
        <f>SUM(J174:J178)</f>
        <v>0</v>
      </c>
      <c r="K179" s="554">
        <f>I179+J179</f>
        <v>2928.019367241231</v>
      </c>
      <c r="L179" s="428">
        <f>ROUND(H179*$N$197,0)</f>
        <v>73335</v>
      </c>
      <c r="M179" s="426">
        <f>SUM(M174:M178)</f>
        <v>0</v>
      </c>
      <c r="N179" s="430"/>
    </row>
    <row r="180" spans="1:14" ht="12.75" customHeight="1">
      <c r="A180" s="468" t="s">
        <v>294</v>
      </c>
      <c r="B180" s="400" t="s">
        <v>254</v>
      </c>
      <c r="C180" s="401">
        <v>146.5</v>
      </c>
      <c r="D180" s="547"/>
      <c r="E180" s="551"/>
      <c r="F180" s="404"/>
      <c r="G180" s="404">
        <f t="shared" si="1"/>
        <v>0</v>
      </c>
      <c r="H180" s="405"/>
      <c r="I180" s="395">
        <f t="shared" si="2"/>
        <v>0</v>
      </c>
      <c r="J180" s="406"/>
      <c r="K180" s="407"/>
      <c r="L180" s="551"/>
      <c r="M180" s="556">
        <f>IF(D180&gt;C180,C180-D180,0)</f>
        <v>0</v>
      </c>
      <c r="N180" s="409"/>
    </row>
    <row r="181" spans="1:14" ht="12.75" customHeight="1">
      <c r="A181" s="463" t="s">
        <v>294</v>
      </c>
      <c r="B181" s="400" t="s">
        <v>255</v>
      </c>
      <c r="C181" s="401">
        <v>12</v>
      </c>
      <c r="D181" s="547"/>
      <c r="E181" s="551"/>
      <c r="F181" s="404"/>
      <c r="G181" s="404">
        <f t="shared" si="1"/>
        <v>0</v>
      </c>
      <c r="H181" s="405"/>
      <c r="I181" s="395">
        <f t="shared" si="2"/>
        <v>0</v>
      </c>
      <c r="J181" s="406"/>
      <c r="K181" s="407"/>
      <c r="L181" s="551"/>
      <c r="M181" s="556">
        <f>IF(D181&gt;C181,C181-D181,0)</f>
        <v>0</v>
      </c>
      <c r="N181" s="409"/>
    </row>
    <row r="182" spans="1:14" ht="12.75" customHeight="1">
      <c r="A182" s="463" t="s">
        <v>294</v>
      </c>
      <c r="B182" s="400" t="s">
        <v>256</v>
      </c>
      <c r="C182" s="401">
        <v>71</v>
      </c>
      <c r="D182" s="547"/>
      <c r="E182" s="551"/>
      <c r="F182" s="404"/>
      <c r="G182" s="404">
        <f t="shared" si="1"/>
        <v>0</v>
      </c>
      <c r="H182" s="405"/>
      <c r="I182" s="395">
        <f t="shared" si="2"/>
        <v>0</v>
      </c>
      <c r="J182" s="406"/>
      <c r="K182" s="407"/>
      <c r="L182" s="551"/>
      <c r="M182" s="556">
        <f>IF(D182&gt;C182,C182-D182,0)</f>
        <v>0</v>
      </c>
      <c r="N182" s="409"/>
    </row>
    <row r="183" spans="1:14" ht="12.75" customHeight="1">
      <c r="A183" s="464" t="s">
        <v>294</v>
      </c>
      <c r="B183" s="412" t="s">
        <v>257</v>
      </c>
      <c r="C183" s="413">
        <v>10</v>
      </c>
      <c r="D183" s="548"/>
      <c r="E183" s="552"/>
      <c r="F183" s="549"/>
      <c r="G183" s="404">
        <f t="shared" si="1"/>
        <v>0</v>
      </c>
      <c r="H183" s="416"/>
      <c r="I183" s="395">
        <f t="shared" si="2"/>
        <v>0</v>
      </c>
      <c r="J183" s="415"/>
      <c r="K183" s="407"/>
      <c r="L183" s="560"/>
      <c r="M183" s="556">
        <f>IF(D183&gt;C183,C183-D183,0)</f>
        <v>0</v>
      </c>
      <c r="N183" s="409"/>
    </row>
    <row r="184" spans="1:14" ht="12.75" customHeight="1" thickBot="1">
      <c r="A184" s="465" t="s">
        <v>294</v>
      </c>
      <c r="B184" s="420" t="s">
        <v>258</v>
      </c>
      <c r="C184" s="401">
        <v>443.5</v>
      </c>
      <c r="D184" s="547"/>
      <c r="E184" s="551"/>
      <c r="F184" s="549"/>
      <c r="G184" s="404">
        <f t="shared" si="1"/>
        <v>0</v>
      </c>
      <c r="H184" s="405"/>
      <c r="I184" s="395">
        <f t="shared" si="2"/>
        <v>0</v>
      </c>
      <c r="J184" s="415"/>
      <c r="K184" s="407"/>
      <c r="L184" s="560"/>
      <c r="M184" s="556">
        <f>IF(D184&gt;C184,C184-D184,0)</f>
        <v>0</v>
      </c>
      <c r="N184" s="409"/>
    </row>
    <row r="185" spans="1:14" ht="12.75" customHeight="1" thickBot="1">
      <c r="A185" s="466" t="s">
        <v>294</v>
      </c>
      <c r="B185" s="422" t="s">
        <v>106</v>
      </c>
      <c r="C185" s="423">
        <v>683</v>
      </c>
      <c r="D185" s="440">
        <v>690</v>
      </c>
      <c r="E185" s="441">
        <f>IF(C185&gt;=0.9*D185,D185,C185+0.1*D185)</f>
        <v>690</v>
      </c>
      <c r="F185" s="426">
        <f>SUM(F180:F184)</f>
        <v>0</v>
      </c>
      <c r="G185" s="426">
        <f t="shared" si="1"/>
        <v>690</v>
      </c>
      <c r="H185" s="467">
        <v>0.252</v>
      </c>
      <c r="I185" s="425">
        <f>E185*$N$196</f>
        <v>4326.19563896456</v>
      </c>
      <c r="J185" s="425">
        <f>SUM(J180:J184)</f>
        <v>0</v>
      </c>
      <c r="K185" s="554">
        <f>I185+J185</f>
        <v>4326.19563896456</v>
      </c>
      <c r="L185" s="428">
        <f>ROUND(H185*$N$197,0)</f>
        <v>108709</v>
      </c>
      <c r="M185" s="426">
        <f>SUM(M180:M184)</f>
        <v>0</v>
      </c>
      <c r="N185" s="430"/>
    </row>
    <row r="186" spans="1:14" ht="12.75">
      <c r="A186" s="531" t="s">
        <v>284</v>
      </c>
      <c r="B186" s="532" t="s">
        <v>254</v>
      </c>
      <c r="C186" s="533">
        <f aca="true" t="shared" si="3" ref="C186:C191">C162+C168+C174+C180</f>
        <v>403</v>
      </c>
      <c r="D186" s="534"/>
      <c r="E186" s="535"/>
      <c r="F186" s="537"/>
      <c r="G186" s="540"/>
      <c r="H186" s="540"/>
      <c r="I186" s="540"/>
      <c r="J186" s="540"/>
      <c r="K186" s="537"/>
      <c r="L186" s="535"/>
      <c r="M186" s="557"/>
      <c r="N186" s="536"/>
    </row>
    <row r="187" spans="1:14" ht="12.75">
      <c r="A187" s="519" t="s">
        <v>284</v>
      </c>
      <c r="B187" s="520" t="s">
        <v>255</v>
      </c>
      <c r="C187" s="521">
        <f t="shared" si="3"/>
        <v>89</v>
      </c>
      <c r="D187" s="525"/>
      <c r="E187" s="529"/>
      <c r="F187" s="538"/>
      <c r="G187" s="541"/>
      <c r="H187" s="541"/>
      <c r="I187" s="541"/>
      <c r="J187" s="541"/>
      <c r="K187" s="538"/>
      <c r="L187" s="529"/>
      <c r="M187" s="558"/>
      <c r="N187" s="527"/>
    </row>
    <row r="188" spans="1:14" ht="12.75">
      <c r="A188" s="519" t="s">
        <v>284</v>
      </c>
      <c r="B188" s="520" t="s">
        <v>256</v>
      </c>
      <c r="C188" s="521">
        <f t="shared" si="3"/>
        <v>349</v>
      </c>
      <c r="D188" s="525"/>
      <c r="E188" s="529"/>
      <c r="F188" s="538"/>
      <c r="G188" s="541"/>
      <c r="H188" s="541"/>
      <c r="I188" s="541"/>
      <c r="J188" s="541"/>
      <c r="K188" s="538"/>
      <c r="L188" s="529"/>
      <c r="M188" s="558"/>
      <c r="N188" s="527"/>
    </row>
    <row r="189" spans="1:14" ht="12.75">
      <c r="A189" s="519" t="s">
        <v>284</v>
      </c>
      <c r="B189" s="520" t="s">
        <v>257</v>
      </c>
      <c r="C189" s="521">
        <f t="shared" si="3"/>
        <v>46</v>
      </c>
      <c r="D189" s="525"/>
      <c r="E189" s="529"/>
      <c r="F189" s="538"/>
      <c r="G189" s="541"/>
      <c r="H189" s="541"/>
      <c r="I189" s="541"/>
      <c r="J189" s="541"/>
      <c r="K189" s="538"/>
      <c r="L189" s="529"/>
      <c r="M189" s="558"/>
      <c r="N189" s="527"/>
    </row>
    <row r="190" spans="1:14" ht="12.75">
      <c r="A190" s="519" t="s">
        <v>284</v>
      </c>
      <c r="B190" s="520" t="s">
        <v>258</v>
      </c>
      <c r="C190" s="521">
        <f t="shared" si="3"/>
        <v>1754</v>
      </c>
      <c r="D190" s="525"/>
      <c r="E190" s="529"/>
      <c r="F190" s="538"/>
      <c r="G190" s="541"/>
      <c r="H190" s="541"/>
      <c r="I190" s="541"/>
      <c r="J190" s="541"/>
      <c r="K190" s="538"/>
      <c r="L190" s="529"/>
      <c r="M190" s="558"/>
      <c r="N190" s="527"/>
    </row>
    <row r="191" spans="1:14" ht="13.5" thickBot="1">
      <c r="A191" s="522" t="s">
        <v>284</v>
      </c>
      <c r="B191" s="523" t="s">
        <v>106</v>
      </c>
      <c r="C191" s="524">
        <f t="shared" si="3"/>
        <v>2641</v>
      </c>
      <c r="D191" s="526">
        <f>D167+D173+D179+D185</f>
        <v>2740</v>
      </c>
      <c r="E191" s="553">
        <f>E167+E173+E179+E185</f>
        <v>2740</v>
      </c>
      <c r="F191" s="539">
        <f>F167+F173+F179+F185</f>
        <v>0</v>
      </c>
      <c r="G191" s="542">
        <v>2740</v>
      </c>
      <c r="H191" s="542"/>
      <c r="I191" s="542">
        <f>I167+I173+I179+I185</f>
        <v>17179.38558081579</v>
      </c>
      <c r="J191" s="542">
        <f>J167+J173+J179+J185</f>
        <v>0</v>
      </c>
      <c r="K191" s="539">
        <f>K167+K173+K179+K185</f>
        <v>17179.38558081579</v>
      </c>
      <c r="L191" s="553">
        <f>L167+L173+L179+L185</f>
        <v>431385</v>
      </c>
      <c r="M191" s="559"/>
      <c r="N191" s="528"/>
    </row>
    <row r="192" ht="13.5" thickTop="1"/>
    <row r="193" spans="11:14" ht="12.75">
      <c r="K193" s="443" t="s">
        <v>322</v>
      </c>
      <c r="L193" s="444"/>
      <c r="M193" s="445"/>
      <c r="N193" s="446">
        <f>L191/N194*1000</f>
        <v>17179.38558081579</v>
      </c>
    </row>
    <row r="194" spans="8:14" ht="12.75">
      <c r="H194" s="469"/>
      <c r="K194" s="443" t="s">
        <v>6</v>
      </c>
      <c r="L194" s="444"/>
      <c r="M194" s="445"/>
      <c r="N194" s="446">
        <f>N153</f>
        <v>25110.61865226003</v>
      </c>
    </row>
    <row r="195" spans="11:14" ht="12.75">
      <c r="K195" s="400" t="s">
        <v>286</v>
      </c>
      <c r="L195" s="444"/>
      <c r="M195" s="445"/>
      <c r="N195" s="446">
        <f>L191</f>
        <v>431385</v>
      </c>
    </row>
    <row r="196" spans="5:14" ht="12.75">
      <c r="E196" s="452"/>
      <c r="K196" s="443" t="s">
        <v>321</v>
      </c>
      <c r="L196" s="444"/>
      <c r="M196" s="445"/>
      <c r="N196" s="496">
        <f>N193/G191</f>
        <v>6.2698487521225506</v>
      </c>
    </row>
    <row r="197" spans="11:14" ht="12.75">
      <c r="K197" s="447" t="s">
        <v>295</v>
      </c>
      <c r="L197" s="448"/>
      <c r="M197" s="449"/>
      <c r="N197" s="450">
        <v>431385.25</v>
      </c>
    </row>
    <row r="198" spans="1:14" ht="21">
      <c r="A198" s="451" t="s">
        <v>296</v>
      </c>
      <c r="N198" s="580">
        <f>1_Bilance!O16*0.035</f>
        <v>431384.73000000004</v>
      </c>
    </row>
    <row r="199" spans="1:14" ht="21" thickBot="1">
      <c r="A199" s="451"/>
      <c r="N199" s="470"/>
    </row>
    <row r="200" spans="1:14" ht="12.75" customHeight="1">
      <c r="A200" s="561" t="s">
        <v>284</v>
      </c>
      <c r="B200" s="562" t="s">
        <v>254</v>
      </c>
      <c r="C200" s="563">
        <f aca="true" t="shared" si="4" ref="C200:C205">C145+C186</f>
        <v>82329.5</v>
      </c>
      <c r="D200" s="564"/>
      <c r="E200" s="565"/>
      <c r="F200" s="566"/>
      <c r="G200" s="540"/>
      <c r="H200" s="540"/>
      <c r="I200" s="540"/>
      <c r="J200" s="540"/>
      <c r="K200" s="566"/>
      <c r="L200" s="565">
        <f aca="true" t="shared" si="5" ref="L200:N205">L145+L186</f>
        <v>0</v>
      </c>
      <c r="M200" s="557">
        <f t="shared" si="5"/>
        <v>-1847</v>
      </c>
      <c r="N200" s="567">
        <f t="shared" si="5"/>
        <v>7490.5</v>
      </c>
    </row>
    <row r="201" spans="1:14" ht="12.75" customHeight="1">
      <c r="A201" s="519" t="s">
        <v>284</v>
      </c>
      <c r="B201" s="520" t="s">
        <v>255</v>
      </c>
      <c r="C201" s="521">
        <f t="shared" si="4"/>
        <v>5727</v>
      </c>
      <c r="D201" s="525"/>
      <c r="E201" s="529"/>
      <c r="F201" s="538"/>
      <c r="G201" s="541"/>
      <c r="H201" s="541"/>
      <c r="I201" s="541"/>
      <c r="J201" s="541"/>
      <c r="K201" s="538"/>
      <c r="L201" s="529">
        <f t="shared" si="5"/>
        <v>0</v>
      </c>
      <c r="M201" s="558">
        <f t="shared" si="5"/>
        <v>-244</v>
      </c>
      <c r="N201" s="527">
        <f t="shared" si="5"/>
        <v>91</v>
      </c>
    </row>
    <row r="202" spans="1:14" ht="12.75" customHeight="1">
      <c r="A202" s="519" t="s">
        <v>284</v>
      </c>
      <c r="B202" s="520" t="s">
        <v>256</v>
      </c>
      <c r="C202" s="521">
        <f t="shared" si="4"/>
        <v>35721</v>
      </c>
      <c r="D202" s="525"/>
      <c r="E202" s="529"/>
      <c r="F202" s="538"/>
      <c r="G202" s="541"/>
      <c r="H202" s="541"/>
      <c r="I202" s="541"/>
      <c r="J202" s="541"/>
      <c r="K202" s="538"/>
      <c r="L202" s="529">
        <f t="shared" si="5"/>
        <v>0</v>
      </c>
      <c r="M202" s="558">
        <f t="shared" si="5"/>
        <v>-107</v>
      </c>
      <c r="N202" s="527">
        <f t="shared" si="5"/>
        <v>5148</v>
      </c>
    </row>
    <row r="203" spans="1:14" ht="12.75" customHeight="1">
      <c r="A203" s="519" t="s">
        <v>284</v>
      </c>
      <c r="B203" s="520" t="s">
        <v>257</v>
      </c>
      <c r="C203" s="521">
        <f t="shared" si="4"/>
        <v>5110.5</v>
      </c>
      <c r="D203" s="525"/>
      <c r="E203" s="529"/>
      <c r="F203" s="538"/>
      <c r="G203" s="541"/>
      <c r="H203" s="541"/>
      <c r="I203" s="541"/>
      <c r="J203" s="541"/>
      <c r="K203" s="538"/>
      <c r="L203" s="529">
        <f t="shared" si="5"/>
        <v>0</v>
      </c>
      <c r="M203" s="558">
        <f t="shared" si="5"/>
        <v>-425</v>
      </c>
      <c r="N203" s="527">
        <f t="shared" si="5"/>
        <v>97.5</v>
      </c>
    </row>
    <row r="204" spans="1:14" ht="12.75" customHeight="1">
      <c r="A204" s="519" t="s">
        <v>284</v>
      </c>
      <c r="B204" s="520" t="s">
        <v>258</v>
      </c>
      <c r="C204" s="521">
        <f t="shared" si="4"/>
        <v>192762</v>
      </c>
      <c r="D204" s="525"/>
      <c r="E204" s="529"/>
      <c r="F204" s="538"/>
      <c r="G204" s="541"/>
      <c r="H204" s="541"/>
      <c r="I204" s="541"/>
      <c r="J204" s="541"/>
      <c r="K204" s="538"/>
      <c r="L204" s="529">
        <f t="shared" si="5"/>
        <v>0</v>
      </c>
      <c r="M204" s="558">
        <f t="shared" si="5"/>
        <v>-380.5</v>
      </c>
      <c r="N204" s="527">
        <f t="shared" si="5"/>
        <v>9516.5</v>
      </c>
    </row>
    <row r="205" spans="1:14" ht="12.75" customHeight="1" thickBot="1">
      <c r="A205" s="522" t="s">
        <v>284</v>
      </c>
      <c r="B205" s="523" t="s">
        <v>106</v>
      </c>
      <c r="C205" s="524">
        <f t="shared" si="4"/>
        <v>321650</v>
      </c>
      <c r="D205" s="526">
        <f>D150+D191</f>
        <v>302409</v>
      </c>
      <c r="E205" s="553">
        <f>E150+E191</f>
        <v>301707.4000000001</v>
      </c>
      <c r="F205" s="539">
        <f>F150+F191</f>
        <v>1616</v>
      </c>
      <c r="G205" s="542">
        <f>G150+G191</f>
        <v>303323.4000000001</v>
      </c>
      <c r="H205" s="542"/>
      <c r="I205" s="542">
        <f>I150+I191</f>
        <v>485203.5808112153</v>
      </c>
      <c r="J205" s="542">
        <f>J150+J191</f>
        <v>5635.700000000001</v>
      </c>
      <c r="K205" s="539">
        <f>K150+K191</f>
        <v>490839.2808112152</v>
      </c>
      <c r="L205" s="553">
        <f t="shared" si="5"/>
        <v>12325278</v>
      </c>
      <c r="M205" s="559">
        <f t="shared" si="5"/>
        <v>-3003.5</v>
      </c>
      <c r="N205" s="528">
        <f t="shared" si="5"/>
        <v>22343.5</v>
      </c>
    </row>
    <row r="206" spans="3:14" ht="12.75" customHeight="1" thickTop="1">
      <c r="C206" s="442"/>
      <c r="E206" s="360"/>
      <c r="G206" s="360"/>
      <c r="L206" s="355"/>
      <c r="N206" s="355"/>
    </row>
    <row r="207" spans="3:14" ht="12.75" customHeight="1">
      <c r="C207" s="442"/>
      <c r="E207" s="360"/>
      <c r="G207" s="360"/>
      <c r="L207" s="355"/>
      <c r="N207" s="355"/>
    </row>
    <row r="208" spans="3:14" ht="12.75" customHeight="1" thickBot="1">
      <c r="C208" s="442"/>
      <c r="E208" s="360"/>
      <c r="G208" s="360"/>
      <c r="L208" s="355"/>
      <c r="N208" s="355"/>
    </row>
    <row r="209" spans="1:14" ht="30" customHeight="1" thickBot="1">
      <c r="A209" s="497" t="s">
        <v>297</v>
      </c>
      <c r="B209" s="498"/>
      <c r="C209" s="499"/>
      <c r="D209" s="500"/>
      <c r="F209" s="442"/>
      <c r="H209" s="360"/>
      <c r="I209" s="355"/>
      <c r="L209" s="355"/>
      <c r="N209" s="355"/>
    </row>
    <row r="210" spans="1:14" ht="15" customHeight="1">
      <c r="A210" s="502" t="s">
        <v>324</v>
      </c>
      <c r="B210" s="435"/>
      <c r="C210" s="503"/>
      <c r="D210" s="504">
        <f>C205+D211</f>
        <v>323266</v>
      </c>
      <c r="H210" s="360"/>
      <c r="I210" s="355"/>
      <c r="J210" s="452"/>
      <c r="K210" s="452"/>
      <c r="L210" s="452"/>
      <c r="M210" s="452"/>
      <c r="N210" s="355"/>
    </row>
    <row r="211" spans="1:14" ht="15" customHeight="1">
      <c r="A211" s="505" t="s">
        <v>320</v>
      </c>
      <c r="B211" s="399"/>
      <c r="C211" s="501"/>
      <c r="D211" s="506">
        <f>M242</f>
        <v>1616</v>
      </c>
      <c r="H211" s="360"/>
      <c r="I211" s="355"/>
      <c r="J211" s="452"/>
      <c r="K211" s="452"/>
      <c r="L211" s="452"/>
      <c r="M211" s="452"/>
      <c r="N211" s="355"/>
    </row>
    <row r="212" spans="1:14" ht="15" customHeight="1">
      <c r="A212" s="505" t="s">
        <v>298</v>
      </c>
      <c r="B212" s="399"/>
      <c r="C212" s="399"/>
      <c r="D212" s="506">
        <f>C191</f>
        <v>2641</v>
      </c>
      <c r="H212" s="360"/>
      <c r="I212" s="355"/>
      <c r="J212" s="452"/>
      <c r="K212" s="452"/>
      <c r="L212" s="452"/>
      <c r="M212" s="452"/>
      <c r="N212" s="355"/>
    </row>
    <row r="213" spans="1:14" ht="15" customHeight="1">
      <c r="A213" s="505" t="s">
        <v>299</v>
      </c>
      <c r="B213" s="399"/>
      <c r="C213" s="501"/>
      <c r="D213" s="507">
        <f>E205+D211</f>
        <v>303323.4000000001</v>
      </c>
      <c r="H213" s="360"/>
      <c r="I213" s="355"/>
      <c r="J213" s="452"/>
      <c r="K213" s="452"/>
      <c r="L213" s="452"/>
      <c r="M213" s="452"/>
      <c r="N213" s="355"/>
    </row>
    <row r="214" spans="1:14" ht="15" customHeight="1">
      <c r="A214" s="508" t="s">
        <v>300</v>
      </c>
      <c r="B214" s="399"/>
      <c r="C214" s="501"/>
      <c r="D214" s="509">
        <f>D213/319191-1</f>
        <v>-0.04971192796789359</v>
      </c>
      <c r="G214" s="452"/>
      <c r="H214" s="452"/>
      <c r="I214" s="452"/>
      <c r="J214" s="452"/>
      <c r="K214" s="452"/>
      <c r="L214" s="452"/>
      <c r="M214" s="452"/>
      <c r="N214" s="355"/>
    </row>
    <row r="215" spans="1:14" ht="15" customHeight="1">
      <c r="A215" s="505" t="s">
        <v>301</v>
      </c>
      <c r="B215" s="399"/>
      <c r="C215" s="501"/>
      <c r="D215" s="507">
        <f>K205</f>
        <v>490839.2808112152</v>
      </c>
      <c r="F215" s="360"/>
      <c r="H215" s="360"/>
      <c r="I215" s="471"/>
      <c r="K215" s="361"/>
      <c r="L215" s="355"/>
      <c r="M215" s="362"/>
      <c r="N215" s="355"/>
    </row>
    <row r="216" spans="1:14" ht="15" customHeight="1">
      <c r="A216" s="515" t="s">
        <v>302</v>
      </c>
      <c r="B216" s="419"/>
      <c r="C216" s="516"/>
      <c r="D216" s="510">
        <f>D215/D213</f>
        <v>1.618204466952484</v>
      </c>
      <c r="H216" s="360"/>
      <c r="I216" s="471"/>
      <c r="J216" s="471"/>
      <c r="K216" s="361"/>
      <c r="L216" s="355"/>
      <c r="N216" s="355"/>
    </row>
    <row r="217" spans="1:14" ht="15" customHeight="1">
      <c r="A217" s="518" t="s">
        <v>318</v>
      </c>
      <c r="B217" s="494"/>
      <c r="C217" s="517"/>
      <c r="D217" s="514">
        <f>1_Bilance!O16</f>
        <v>12325278</v>
      </c>
      <c r="E217" s="452"/>
      <c r="F217" s="452"/>
      <c r="G217" s="452"/>
      <c r="H217" s="360"/>
      <c r="I217" s="355"/>
      <c r="L217" s="355"/>
      <c r="N217" s="355"/>
    </row>
    <row r="218" spans="1:14" ht="15" customHeight="1">
      <c r="A218" s="518" t="s">
        <v>319</v>
      </c>
      <c r="B218" s="494"/>
      <c r="C218" s="517"/>
      <c r="D218" s="507">
        <f>1_Bilance!O18</f>
        <v>3578306</v>
      </c>
      <c r="E218" s="452"/>
      <c r="F218" s="452"/>
      <c r="G218" s="452"/>
      <c r="H218" s="360"/>
      <c r="I218" s="355"/>
      <c r="L218" s="355"/>
      <c r="N218" s="355"/>
    </row>
    <row r="219" spans="1:14" ht="15" customHeight="1">
      <c r="A219" s="518" t="s">
        <v>303</v>
      </c>
      <c r="B219" s="494"/>
      <c r="C219" s="517"/>
      <c r="D219" s="507">
        <f>1_Bilance!O19</f>
        <v>15903584</v>
      </c>
      <c r="E219" s="452"/>
      <c r="F219" s="452"/>
      <c r="G219" s="452"/>
      <c r="H219" s="360"/>
      <c r="I219" s="355"/>
      <c r="L219" s="355"/>
      <c r="N219" s="355"/>
    </row>
    <row r="220" spans="1:14" ht="15" customHeight="1">
      <c r="A220" s="577" t="s">
        <v>325</v>
      </c>
      <c r="B220" s="495"/>
      <c r="C220" s="578"/>
      <c r="D220" s="579">
        <f>D217/D215*1000</f>
        <v>25110.61865226003</v>
      </c>
      <c r="E220" s="452"/>
      <c r="F220" s="452"/>
      <c r="G220" s="452"/>
      <c r="H220" s="360"/>
      <c r="I220" s="355"/>
      <c r="L220" s="355"/>
      <c r="N220" s="355"/>
    </row>
    <row r="221" spans="1:14" ht="15" customHeight="1" thickBot="1">
      <c r="A221" s="511" t="s">
        <v>304</v>
      </c>
      <c r="B221" s="512"/>
      <c r="C221" s="513"/>
      <c r="D221" s="576">
        <f>D219/D215*1000</f>
        <v>32400.797209457196</v>
      </c>
      <c r="H221" s="360"/>
      <c r="I221" s="355"/>
      <c r="L221" s="355"/>
      <c r="N221" s="355"/>
    </row>
    <row r="222" spans="5:14" ht="12.75" customHeight="1">
      <c r="E222" s="360"/>
      <c r="L222" s="355"/>
      <c r="N222" s="355"/>
    </row>
    <row r="223" spans="5:14" ht="12.75" customHeight="1">
      <c r="E223" s="360"/>
      <c r="L223" s="355"/>
      <c r="N223" s="355"/>
    </row>
    <row r="224" spans="5:14" ht="12.75" customHeight="1">
      <c r="E224" s="360"/>
      <c r="L224" s="355"/>
      <c r="N224" s="355"/>
    </row>
    <row r="225" spans="1:14" ht="19.5" customHeight="1">
      <c r="A225" s="472" t="s">
        <v>305</v>
      </c>
      <c r="C225" s="442"/>
      <c r="G225" s="360"/>
      <c r="H225" s="360"/>
      <c r="J225" s="360"/>
      <c r="K225" s="360"/>
      <c r="L225" s="473"/>
      <c r="M225" s="473"/>
      <c r="N225" s="473"/>
    </row>
    <row r="226" spans="3:14" ht="12.75" customHeight="1">
      <c r="C226" s="442"/>
      <c r="G226" s="360"/>
      <c r="H226" s="360"/>
      <c r="J226" s="360"/>
      <c r="K226" s="360"/>
      <c r="L226" s="474"/>
      <c r="M226" s="473"/>
      <c r="N226" s="474"/>
    </row>
    <row r="227" spans="3:14" ht="12.75" customHeight="1">
      <c r="C227" s="355"/>
      <c r="I227" s="355"/>
      <c r="L227" s="355"/>
      <c r="N227" s="355"/>
    </row>
    <row r="228" spans="1:14" s="479" customFormat="1" ht="45.75" customHeight="1">
      <c r="A228" s="475" t="s">
        <v>76</v>
      </c>
      <c r="B228" s="475" t="s">
        <v>77</v>
      </c>
      <c r="C228" s="475" t="s">
        <v>306</v>
      </c>
      <c r="D228" s="475" t="s">
        <v>307</v>
      </c>
      <c r="E228" s="475" t="s">
        <v>240</v>
      </c>
      <c r="F228" s="475" t="s">
        <v>308</v>
      </c>
      <c r="G228" s="476" t="s">
        <v>309</v>
      </c>
      <c r="H228" s="477" t="s">
        <v>310</v>
      </c>
      <c r="I228" s="477" t="s">
        <v>311</v>
      </c>
      <c r="J228" s="477" t="s">
        <v>312</v>
      </c>
      <c r="K228" s="477" t="s">
        <v>313</v>
      </c>
      <c r="L228" s="477" t="s">
        <v>106</v>
      </c>
      <c r="M228" s="478" t="s">
        <v>314</v>
      </c>
      <c r="N228" s="478" t="s">
        <v>315</v>
      </c>
    </row>
    <row r="229" spans="1:14" ht="12.75" customHeight="1">
      <c r="A229" s="480"/>
      <c r="B229" s="480"/>
      <c r="C229" s="480"/>
      <c r="D229" s="480"/>
      <c r="E229" s="480"/>
      <c r="F229" s="480"/>
      <c r="G229" s="481"/>
      <c r="H229" s="482"/>
      <c r="I229" s="482"/>
      <c r="J229" s="482"/>
      <c r="K229" s="482"/>
      <c r="L229" s="482"/>
      <c r="M229" s="483"/>
      <c r="N229" s="483"/>
    </row>
    <row r="230" spans="1:14" ht="12.75" customHeight="1">
      <c r="A230" s="484">
        <v>11000</v>
      </c>
      <c r="B230" s="484" t="s">
        <v>316</v>
      </c>
      <c r="C230" s="484"/>
      <c r="D230" s="484"/>
      <c r="E230" s="485" t="s">
        <v>232</v>
      </c>
      <c r="F230" s="484"/>
      <c r="G230" s="486"/>
      <c r="H230" s="485">
        <v>110</v>
      </c>
      <c r="I230" s="485">
        <v>2</v>
      </c>
      <c r="J230" s="485">
        <v>57</v>
      </c>
      <c r="K230" s="485">
        <v>0</v>
      </c>
      <c r="L230" s="485">
        <v>169</v>
      </c>
      <c r="M230" s="487">
        <v>167</v>
      </c>
      <c r="N230" s="487">
        <v>584.5</v>
      </c>
    </row>
    <row r="231" spans="1:14" ht="12.75" customHeight="1">
      <c r="A231" s="484">
        <v>11000</v>
      </c>
      <c r="B231" s="484" t="s">
        <v>316</v>
      </c>
      <c r="C231" s="484"/>
      <c r="D231" s="484"/>
      <c r="E231" s="484" t="s">
        <v>236</v>
      </c>
      <c r="F231" s="484"/>
      <c r="G231" s="486"/>
      <c r="H231" s="485">
        <v>0</v>
      </c>
      <c r="I231" s="485">
        <v>1</v>
      </c>
      <c r="J231" s="485">
        <v>3</v>
      </c>
      <c r="K231" s="485">
        <v>0</v>
      </c>
      <c r="L231" s="485">
        <v>4</v>
      </c>
      <c r="M231" s="487">
        <v>3</v>
      </c>
      <c r="N231" s="487">
        <v>8.4</v>
      </c>
    </row>
    <row r="232" spans="1:14" ht="12.75" customHeight="1">
      <c r="A232" s="484">
        <v>11000</v>
      </c>
      <c r="B232" s="484" t="s">
        <v>316</v>
      </c>
      <c r="C232" s="484"/>
      <c r="D232" s="484"/>
      <c r="E232" s="484" t="s">
        <v>238</v>
      </c>
      <c r="F232" s="484"/>
      <c r="G232" s="486"/>
      <c r="H232" s="485">
        <v>0</v>
      </c>
      <c r="I232" s="485">
        <v>19</v>
      </c>
      <c r="J232" s="485">
        <v>640</v>
      </c>
      <c r="K232" s="485">
        <v>8</v>
      </c>
      <c r="L232" s="485">
        <v>667</v>
      </c>
      <c r="M232" s="487">
        <v>644</v>
      </c>
      <c r="N232" s="487">
        <v>2248.4</v>
      </c>
    </row>
    <row r="233" spans="1:14" ht="12.75" customHeight="1">
      <c r="A233" s="488">
        <v>11000</v>
      </c>
      <c r="B233" s="489" t="s">
        <v>316</v>
      </c>
      <c r="C233" s="489"/>
      <c r="D233" s="489"/>
      <c r="E233" s="489" t="s">
        <v>106</v>
      </c>
      <c r="F233" s="489"/>
      <c r="G233" s="490"/>
      <c r="H233" s="491">
        <v>110</v>
      </c>
      <c r="I233" s="491">
        <v>22</v>
      </c>
      <c r="J233" s="491">
        <v>700</v>
      </c>
      <c r="K233" s="491">
        <v>8</v>
      </c>
      <c r="L233" s="491">
        <v>840</v>
      </c>
      <c r="M233" s="492">
        <v>814</v>
      </c>
      <c r="N233" s="493">
        <v>2841.3</v>
      </c>
    </row>
    <row r="234" spans="1:14" ht="12.75" customHeight="1">
      <c r="A234" s="484">
        <v>14000</v>
      </c>
      <c r="B234" s="484" t="s">
        <v>125</v>
      </c>
      <c r="C234" s="484"/>
      <c r="D234" s="484"/>
      <c r="E234" s="484" t="s">
        <v>232</v>
      </c>
      <c r="F234" s="484"/>
      <c r="G234" s="486"/>
      <c r="H234" s="485">
        <v>47</v>
      </c>
      <c r="I234" s="485">
        <v>0</v>
      </c>
      <c r="J234" s="485">
        <v>32</v>
      </c>
      <c r="K234" s="485">
        <v>0</v>
      </c>
      <c r="L234" s="485">
        <v>79</v>
      </c>
      <c r="M234" s="487">
        <v>79</v>
      </c>
      <c r="N234" s="487">
        <v>276.5</v>
      </c>
    </row>
    <row r="235" spans="1:14" ht="12.75" customHeight="1">
      <c r="A235" s="484">
        <v>14000</v>
      </c>
      <c r="B235" s="484" t="s">
        <v>125</v>
      </c>
      <c r="C235" s="484"/>
      <c r="D235" s="484"/>
      <c r="E235" s="484" t="s">
        <v>236</v>
      </c>
      <c r="F235" s="484"/>
      <c r="G235" s="486"/>
      <c r="H235" s="485">
        <v>0</v>
      </c>
      <c r="I235" s="485">
        <v>0</v>
      </c>
      <c r="J235" s="485">
        <v>2</v>
      </c>
      <c r="K235" s="485">
        <v>0</v>
      </c>
      <c r="L235" s="485">
        <v>2</v>
      </c>
      <c r="M235" s="487">
        <v>2</v>
      </c>
      <c r="N235" s="487">
        <v>5.6</v>
      </c>
    </row>
    <row r="236" spans="1:14" ht="12.75" customHeight="1">
      <c r="A236" s="484">
        <v>14000</v>
      </c>
      <c r="B236" s="484" t="s">
        <v>125</v>
      </c>
      <c r="C236" s="484"/>
      <c r="D236" s="484"/>
      <c r="E236" s="484" t="s">
        <v>238</v>
      </c>
      <c r="F236" s="484"/>
      <c r="G236" s="486"/>
      <c r="H236" s="485">
        <v>0</v>
      </c>
      <c r="I236" s="485">
        <v>19</v>
      </c>
      <c r="J236" s="485">
        <v>300</v>
      </c>
      <c r="K236" s="485">
        <v>5</v>
      </c>
      <c r="L236" s="485">
        <v>324</v>
      </c>
      <c r="M236" s="487">
        <v>302.5</v>
      </c>
      <c r="N236" s="487">
        <v>1047.55</v>
      </c>
    </row>
    <row r="237" spans="1:14" ht="12.75" customHeight="1">
      <c r="A237" s="488">
        <v>14000</v>
      </c>
      <c r="B237" s="489" t="s">
        <v>125</v>
      </c>
      <c r="C237" s="489"/>
      <c r="D237" s="489"/>
      <c r="E237" s="489" t="s">
        <v>106</v>
      </c>
      <c r="F237" s="489"/>
      <c r="G237" s="490"/>
      <c r="H237" s="491">
        <v>47</v>
      </c>
      <c r="I237" s="491">
        <v>19</v>
      </c>
      <c r="J237" s="491">
        <v>334</v>
      </c>
      <c r="K237" s="491">
        <v>5</v>
      </c>
      <c r="L237" s="491">
        <v>405</v>
      </c>
      <c r="M237" s="492">
        <v>383.5</v>
      </c>
      <c r="N237" s="493">
        <v>1329.65</v>
      </c>
    </row>
    <row r="238" spans="1:14" ht="12.75" customHeight="1">
      <c r="A238" s="484">
        <v>15000</v>
      </c>
      <c r="B238" s="484" t="s">
        <v>317</v>
      </c>
      <c r="C238" s="484"/>
      <c r="D238" s="484"/>
      <c r="E238" s="484" t="s">
        <v>232</v>
      </c>
      <c r="F238" s="484"/>
      <c r="G238" s="486"/>
      <c r="H238" s="485">
        <v>40</v>
      </c>
      <c r="I238" s="485">
        <v>0</v>
      </c>
      <c r="J238" s="485">
        <v>40</v>
      </c>
      <c r="K238" s="485">
        <v>0</v>
      </c>
      <c r="L238" s="485">
        <v>80</v>
      </c>
      <c r="M238" s="487">
        <v>80</v>
      </c>
      <c r="N238" s="487">
        <v>280</v>
      </c>
    </row>
    <row r="239" spans="1:14" ht="12.75" customHeight="1">
      <c r="A239" s="484">
        <v>15000</v>
      </c>
      <c r="B239" s="484" t="s">
        <v>317</v>
      </c>
      <c r="C239" s="484"/>
      <c r="D239" s="484"/>
      <c r="E239" s="484" t="s">
        <v>236</v>
      </c>
      <c r="F239" s="484"/>
      <c r="G239" s="486"/>
      <c r="H239" s="485">
        <v>0</v>
      </c>
      <c r="I239" s="485">
        <v>0</v>
      </c>
      <c r="J239" s="485">
        <v>0</v>
      </c>
      <c r="K239" s="485">
        <v>0</v>
      </c>
      <c r="L239" s="485">
        <v>0</v>
      </c>
      <c r="M239" s="485">
        <v>0</v>
      </c>
      <c r="N239" s="485">
        <v>0</v>
      </c>
    </row>
    <row r="240" spans="1:14" ht="12.75" customHeight="1">
      <c r="A240" s="484">
        <v>15000</v>
      </c>
      <c r="B240" s="484" t="s">
        <v>317</v>
      </c>
      <c r="C240" s="484"/>
      <c r="D240" s="484"/>
      <c r="E240" s="484" t="s">
        <v>238</v>
      </c>
      <c r="F240" s="484"/>
      <c r="G240" s="486"/>
      <c r="H240" s="485">
        <v>0</v>
      </c>
      <c r="I240" s="485">
        <v>6</v>
      </c>
      <c r="J240" s="485">
        <v>338</v>
      </c>
      <c r="K240" s="485">
        <v>1</v>
      </c>
      <c r="L240" s="485">
        <v>345</v>
      </c>
      <c r="M240" s="487">
        <v>338.5</v>
      </c>
      <c r="N240" s="487">
        <v>1184.75</v>
      </c>
    </row>
    <row r="241" spans="1:14" ht="12.75" customHeight="1">
      <c r="A241" s="488">
        <v>15000</v>
      </c>
      <c r="B241" s="489" t="s">
        <v>317</v>
      </c>
      <c r="C241" s="489"/>
      <c r="D241" s="489"/>
      <c r="E241" s="489" t="s">
        <v>106</v>
      </c>
      <c r="F241" s="489"/>
      <c r="G241" s="490"/>
      <c r="H241" s="491">
        <v>40</v>
      </c>
      <c r="I241" s="491">
        <v>6</v>
      </c>
      <c r="J241" s="491">
        <v>378</v>
      </c>
      <c r="K241" s="491">
        <v>1</v>
      </c>
      <c r="L241" s="491">
        <v>425</v>
      </c>
      <c r="M241" s="492">
        <v>418.5</v>
      </c>
      <c r="N241" s="493">
        <v>1464.75</v>
      </c>
    </row>
    <row r="242" spans="1:14" ht="12.75" customHeight="1">
      <c r="A242" s="488"/>
      <c r="B242" s="489" t="s">
        <v>106</v>
      </c>
      <c r="C242" s="489"/>
      <c r="D242" s="489"/>
      <c r="E242" s="489"/>
      <c r="F242" s="489"/>
      <c r="G242" s="490"/>
      <c r="H242" s="491"/>
      <c r="I242" s="491"/>
      <c r="J242" s="491"/>
      <c r="K242" s="491"/>
      <c r="L242" s="491"/>
      <c r="M242" s="492">
        <f>M233+M237+M241</f>
        <v>1616</v>
      </c>
      <c r="N242" s="493">
        <f>N233+N237+N241</f>
        <v>5635.700000000001</v>
      </c>
    </row>
    <row r="243" spans="3:14" ht="12.75" customHeight="1">
      <c r="C243" s="355"/>
      <c r="I243" s="355"/>
      <c r="L243" s="355"/>
      <c r="N243" s="355"/>
    </row>
    <row r="244" spans="3:14" ht="12.75" customHeight="1">
      <c r="C244" s="355"/>
      <c r="I244" s="355"/>
      <c r="L244" s="355"/>
      <c r="N244" s="355"/>
    </row>
    <row r="245" spans="3:14" ht="12.75" customHeight="1">
      <c r="C245" s="355"/>
      <c r="I245" s="355"/>
      <c r="L245" s="355"/>
      <c r="N245" s="355"/>
    </row>
    <row r="246" spans="3:14" ht="12.75" customHeight="1">
      <c r="C246" s="355"/>
      <c r="I246" s="355"/>
      <c r="L246" s="355"/>
      <c r="N246" s="355"/>
    </row>
    <row r="247" spans="3:14" ht="12.75" customHeight="1">
      <c r="C247" s="355"/>
      <c r="I247" s="355"/>
      <c r="L247" s="355"/>
      <c r="N247" s="355"/>
    </row>
    <row r="248" spans="3:14" ht="12.75" customHeight="1">
      <c r="C248" s="355"/>
      <c r="I248" s="355"/>
      <c r="L248" s="355"/>
      <c r="N248" s="355"/>
    </row>
    <row r="249" spans="3:14" ht="12.75" customHeight="1">
      <c r="C249" s="355"/>
      <c r="I249" s="355"/>
      <c r="L249" s="355"/>
      <c r="N249" s="355"/>
    </row>
    <row r="250" spans="3:14" ht="12.75" customHeight="1">
      <c r="C250" s="355"/>
      <c r="I250" s="355"/>
      <c r="L250" s="355"/>
      <c r="N250" s="355"/>
    </row>
    <row r="251" spans="3:14" ht="12.75" customHeight="1">
      <c r="C251" s="355"/>
      <c r="I251" s="355"/>
      <c r="L251" s="355"/>
      <c r="N251" s="355"/>
    </row>
    <row r="252" spans="3:14" ht="12.75" customHeight="1">
      <c r="C252" s="355"/>
      <c r="I252" s="355"/>
      <c r="L252" s="355"/>
      <c r="N252" s="355"/>
    </row>
    <row r="253" spans="3:14" ht="12.75" customHeight="1">
      <c r="C253" s="355"/>
      <c r="I253" s="355"/>
      <c r="L253" s="355"/>
      <c r="N253" s="355"/>
    </row>
    <row r="254" spans="3:14" ht="12.75" customHeight="1">
      <c r="C254" s="355"/>
      <c r="I254" s="355"/>
      <c r="L254" s="355"/>
      <c r="N254" s="355"/>
    </row>
    <row r="255" spans="3:14" ht="12.75">
      <c r="C255" s="355"/>
      <c r="I255" s="355"/>
      <c r="L255" s="355"/>
      <c r="N255" s="355"/>
    </row>
    <row r="256" spans="3:14" ht="12.75">
      <c r="C256" s="355"/>
      <c r="I256" s="355"/>
      <c r="L256" s="355"/>
      <c r="N256" s="355"/>
    </row>
    <row r="257" spans="3:14" ht="12.75">
      <c r="C257" s="355"/>
      <c r="I257" s="355"/>
      <c r="L257" s="355"/>
      <c r="N257" s="355"/>
    </row>
    <row r="258" spans="3:14" ht="12.75">
      <c r="C258" s="355"/>
      <c r="I258" s="355"/>
      <c r="L258" s="355"/>
      <c r="N258" s="355"/>
    </row>
    <row r="259" spans="3:14" ht="12.75">
      <c r="C259" s="355"/>
      <c r="I259" s="355"/>
      <c r="L259" s="355"/>
      <c r="N259" s="355"/>
    </row>
    <row r="260" spans="3:14" ht="12.75">
      <c r="C260" s="355"/>
      <c r="I260" s="355"/>
      <c r="L260" s="355"/>
      <c r="N260" s="355"/>
    </row>
  </sheetData>
  <sheetProtection/>
  <autoFilter ref="A11:N150"/>
  <mergeCells count="3">
    <mergeCell ref="A3:B3"/>
    <mergeCell ref="E4:N5"/>
    <mergeCell ref="I161:K161"/>
  </mergeCells>
  <printOptions horizontalCentered="1"/>
  <pageMargins left="0.1968503937007874" right="0.1968503937007874" top="0.3937007874015748" bottom="0.31496062992125984" header="0.03937007874015748" footer="0.03937007874015748"/>
  <pageSetup fitToHeight="4" horizontalDpi="600" verticalDpi="600" orientation="landscape" paperSize="9" scale="52" r:id="rId1"/>
  <rowBreaks count="3" manualBreakCount="3">
    <brk id="60" max="13" man="1"/>
    <brk id="120" max="13" man="1"/>
    <brk id="191" max="13" man="1"/>
  </rowBreaks>
  <ignoredErrors>
    <ignoredError sqref="I167:I18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BH174"/>
  <sheetViews>
    <sheetView zoomScale="98" zoomScaleNormal="98" zoomScalePageLayoutView="0" workbookViewId="0" topLeftCell="A1">
      <pane xSplit="2" ySplit="5" topLeftCell="AM6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"/>
    </sheetView>
  </sheetViews>
  <sheetFormatPr defaultColWidth="7.7109375" defaultRowHeight="15"/>
  <cols>
    <col min="1" max="1" width="5.7109375" style="597" customWidth="1"/>
    <col min="2" max="2" width="11.00390625" style="597" customWidth="1"/>
    <col min="3" max="3" width="8.421875" style="597" customWidth="1"/>
    <col min="4" max="4" width="7.140625" style="597" customWidth="1"/>
    <col min="5" max="5" width="7.57421875" style="597" customWidth="1"/>
    <col min="6" max="6" width="7.421875" style="597" customWidth="1"/>
    <col min="7" max="7" width="9.140625" style="598" customWidth="1"/>
    <col min="8" max="8" width="7.28125" style="598" customWidth="1"/>
    <col min="9" max="9" width="8.8515625" style="598" customWidth="1"/>
    <col min="10" max="10" width="7.421875" style="598" customWidth="1"/>
    <col min="11" max="11" width="2.28125" style="598" customWidth="1"/>
    <col min="12" max="13" width="8.00390625" style="598" customWidth="1"/>
    <col min="14" max="14" width="7.8515625" style="598" customWidth="1"/>
    <col min="15" max="15" width="8.140625" style="598" customWidth="1"/>
    <col min="16" max="16" width="8.57421875" style="597" customWidth="1"/>
    <col min="17" max="17" width="8.28125" style="597" customWidth="1"/>
    <col min="18" max="18" width="8.7109375" style="597" customWidth="1"/>
    <col min="19" max="19" width="8.00390625" style="597" customWidth="1"/>
    <col min="20" max="21" width="7.8515625" style="597" customWidth="1"/>
    <col min="22" max="22" width="8.00390625" style="597" customWidth="1"/>
    <col min="23" max="23" width="6.7109375" style="597" customWidth="1"/>
    <col min="24" max="24" width="2.421875" style="599" customWidth="1"/>
    <col min="25" max="25" width="7.8515625" style="597" customWidth="1"/>
    <col min="26" max="26" width="7.7109375" style="597" customWidth="1"/>
    <col min="27" max="27" width="7.421875" style="597" customWidth="1"/>
    <col min="28" max="28" width="7.140625" style="597" customWidth="1"/>
    <col min="29" max="29" width="6.57421875" style="597" customWidth="1"/>
    <col min="30" max="31" width="6.7109375" style="597" customWidth="1"/>
    <col min="32" max="32" width="6.28125" style="597" customWidth="1"/>
    <col min="33" max="33" width="7.00390625" style="597" customWidth="1"/>
    <col min="34" max="34" width="7.7109375" style="597" customWidth="1"/>
    <col min="35" max="35" width="7.00390625" style="597" customWidth="1"/>
    <col min="36" max="36" width="8.140625" style="597" customWidth="1"/>
    <col min="37" max="37" width="6.28125" style="597" customWidth="1"/>
    <col min="38" max="38" width="6.8515625" style="597" customWidth="1"/>
    <col min="39" max="39" width="6.421875" style="597" customWidth="1"/>
    <col min="40" max="40" width="6.7109375" style="597" customWidth="1"/>
    <col min="41" max="41" width="7.421875" style="597" customWidth="1"/>
    <col min="42" max="42" width="6.421875" style="597" customWidth="1"/>
    <col min="43" max="43" width="8.8515625" style="597" customWidth="1"/>
    <col min="44" max="44" width="6.57421875" style="597" customWidth="1"/>
    <col min="45" max="45" width="8.57421875" style="597" customWidth="1"/>
    <col min="46" max="46" width="7.28125" style="597" customWidth="1"/>
    <col min="47" max="47" width="8.421875" style="597" customWidth="1"/>
    <col min="48" max="48" width="7.00390625" style="597" customWidth="1"/>
    <col min="49" max="49" width="7.421875" style="597" customWidth="1"/>
    <col min="50" max="50" width="6.8515625" style="597" customWidth="1"/>
    <col min="51" max="51" width="7.7109375" style="597" customWidth="1"/>
    <col min="52" max="52" width="7.00390625" style="597" customWidth="1"/>
    <col min="53" max="54" width="6.28125" style="597" bestFit="1" customWidth="1"/>
    <col min="55" max="55" width="8.57421875" style="597" customWidth="1"/>
    <col min="56" max="56" width="6.7109375" style="597" customWidth="1"/>
    <col min="57" max="57" width="2.140625" style="600" customWidth="1"/>
    <col min="58" max="58" width="8.28125" style="597" customWidth="1"/>
    <col min="59" max="59" width="8.8515625" style="597" customWidth="1"/>
    <col min="60" max="60" width="15.7109375" style="597" customWidth="1"/>
    <col min="61" max="16384" width="7.7109375" style="597" customWidth="1"/>
  </cols>
  <sheetData>
    <row r="1" spans="1:16" ht="19.5">
      <c r="A1" s="596" t="s">
        <v>326</v>
      </c>
      <c r="G1"/>
      <c r="H1"/>
      <c r="I1"/>
      <c r="J1"/>
      <c r="L1"/>
      <c r="M1"/>
      <c r="N1"/>
      <c r="O1"/>
      <c r="P1"/>
    </row>
    <row r="2" ht="15.75" thickBot="1"/>
    <row r="3" spans="1:59" s="600" customFormat="1" ht="23.25" customHeight="1">
      <c r="A3" s="1095" t="s">
        <v>171</v>
      </c>
      <c r="B3" s="1096"/>
      <c r="C3" s="1101" t="s">
        <v>327</v>
      </c>
      <c r="D3" s="1102"/>
      <c r="E3" s="1102"/>
      <c r="F3" s="1102"/>
      <c r="G3" s="1102"/>
      <c r="H3" s="1102"/>
      <c r="I3" s="1102"/>
      <c r="J3" s="1103"/>
      <c r="K3" s="601"/>
      <c r="L3" s="1047" t="s">
        <v>328</v>
      </c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9"/>
      <c r="Y3" s="1050" t="s">
        <v>329</v>
      </c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1"/>
      <c r="AL3" s="1051"/>
      <c r="AM3" s="1051"/>
      <c r="AN3" s="1051"/>
      <c r="AO3" s="1051"/>
      <c r="AP3" s="1051"/>
      <c r="AQ3" s="1051"/>
      <c r="AR3" s="1051"/>
      <c r="AS3" s="1051"/>
      <c r="AT3" s="1051"/>
      <c r="AU3" s="1051"/>
      <c r="AV3" s="1051"/>
      <c r="AW3" s="1051"/>
      <c r="AX3" s="1051"/>
      <c r="AY3" s="1051"/>
      <c r="AZ3" s="1051"/>
      <c r="BA3" s="1051"/>
      <c r="BB3" s="1051"/>
      <c r="BC3" s="1051"/>
      <c r="BD3" s="1052"/>
      <c r="BF3" s="1053" t="s">
        <v>330</v>
      </c>
      <c r="BG3" s="1056" t="s">
        <v>331</v>
      </c>
    </row>
    <row r="4" spans="1:59" s="603" customFormat="1" ht="27" customHeight="1">
      <c r="A4" s="1097"/>
      <c r="B4" s="1098"/>
      <c r="C4" s="1074" t="s">
        <v>332</v>
      </c>
      <c r="D4" s="1075"/>
      <c r="E4" s="1075" t="s">
        <v>333</v>
      </c>
      <c r="F4" s="1075"/>
      <c r="G4" s="1075" t="s">
        <v>334</v>
      </c>
      <c r="H4" s="1075"/>
      <c r="I4" s="1075" t="s">
        <v>335</v>
      </c>
      <c r="J4" s="1078"/>
      <c r="K4" s="602"/>
      <c r="L4" s="1080" t="s">
        <v>336</v>
      </c>
      <c r="M4" s="1081"/>
      <c r="N4" s="1081"/>
      <c r="O4" s="1082" t="s">
        <v>337</v>
      </c>
      <c r="P4" s="1059" t="s">
        <v>338</v>
      </c>
      <c r="Q4" s="1060"/>
      <c r="R4" s="1060"/>
      <c r="S4" s="1060"/>
      <c r="T4" s="1060"/>
      <c r="U4" s="1061"/>
      <c r="V4" s="1062" t="s">
        <v>339</v>
      </c>
      <c r="W4" s="1063"/>
      <c r="Y4" s="1066" t="s">
        <v>340</v>
      </c>
      <c r="Z4" s="1067"/>
      <c r="AA4" s="1067"/>
      <c r="AB4" s="1067"/>
      <c r="AC4" s="1067"/>
      <c r="AD4" s="1068"/>
      <c r="AE4" s="1069" t="s">
        <v>340</v>
      </c>
      <c r="AF4" s="1070"/>
      <c r="AG4" s="1073" t="s">
        <v>341</v>
      </c>
      <c r="AH4" s="1067"/>
      <c r="AI4" s="1067"/>
      <c r="AJ4" s="1067"/>
      <c r="AK4" s="1067"/>
      <c r="AL4" s="1068"/>
      <c r="AM4" s="1069" t="s">
        <v>341</v>
      </c>
      <c r="AN4" s="1070"/>
      <c r="AO4" s="1073" t="s">
        <v>342</v>
      </c>
      <c r="AP4" s="1067"/>
      <c r="AQ4" s="1067"/>
      <c r="AR4" s="1067"/>
      <c r="AS4" s="1067"/>
      <c r="AT4" s="1068"/>
      <c r="AU4" s="1069" t="s">
        <v>342</v>
      </c>
      <c r="AV4" s="1070"/>
      <c r="AW4" s="1073" t="s">
        <v>343</v>
      </c>
      <c r="AX4" s="1067"/>
      <c r="AY4" s="1067"/>
      <c r="AZ4" s="1067"/>
      <c r="BA4" s="1067"/>
      <c r="BB4" s="1068"/>
      <c r="BC4" s="1069" t="s">
        <v>343</v>
      </c>
      <c r="BD4" s="1084"/>
      <c r="BF4" s="1054"/>
      <c r="BG4" s="1057"/>
    </row>
    <row r="5" spans="1:59" s="600" customFormat="1" ht="18" customHeight="1" thickBot="1">
      <c r="A5" s="1099"/>
      <c r="B5" s="1100"/>
      <c r="C5" s="1076"/>
      <c r="D5" s="1077"/>
      <c r="E5" s="1077"/>
      <c r="F5" s="1077"/>
      <c r="G5" s="1077"/>
      <c r="H5" s="1077"/>
      <c r="I5" s="1077"/>
      <c r="J5" s="1079"/>
      <c r="K5" s="602"/>
      <c r="L5" s="604" t="s">
        <v>344</v>
      </c>
      <c r="M5" s="605" t="s">
        <v>345</v>
      </c>
      <c r="N5" s="606" t="s">
        <v>346</v>
      </c>
      <c r="O5" s="1083"/>
      <c r="P5" s="1104" t="s">
        <v>347</v>
      </c>
      <c r="Q5" s="1089"/>
      <c r="R5" s="1089" t="s">
        <v>348</v>
      </c>
      <c r="S5" s="1089"/>
      <c r="T5" s="1089" t="s">
        <v>349</v>
      </c>
      <c r="U5" s="1064"/>
      <c r="V5" s="1064"/>
      <c r="W5" s="1065"/>
      <c r="Y5" s="1090" t="s">
        <v>350</v>
      </c>
      <c r="Z5" s="1086"/>
      <c r="AA5" s="1086" t="s">
        <v>351</v>
      </c>
      <c r="AB5" s="1086"/>
      <c r="AC5" s="1086" t="s">
        <v>352</v>
      </c>
      <c r="AD5" s="1087"/>
      <c r="AE5" s="1071"/>
      <c r="AF5" s="1072"/>
      <c r="AG5" s="1088" t="s">
        <v>350</v>
      </c>
      <c r="AH5" s="1086"/>
      <c r="AI5" s="1086" t="s">
        <v>351</v>
      </c>
      <c r="AJ5" s="1086"/>
      <c r="AK5" s="1086" t="s">
        <v>352</v>
      </c>
      <c r="AL5" s="1087"/>
      <c r="AM5" s="1071"/>
      <c r="AN5" s="1072"/>
      <c r="AO5" s="1088" t="s">
        <v>350</v>
      </c>
      <c r="AP5" s="1086"/>
      <c r="AQ5" s="1086" t="s">
        <v>351</v>
      </c>
      <c r="AR5" s="1086"/>
      <c r="AS5" s="1086" t="s">
        <v>352</v>
      </c>
      <c r="AT5" s="1087"/>
      <c r="AU5" s="1071"/>
      <c r="AV5" s="1072"/>
      <c r="AW5" s="1088" t="s">
        <v>350</v>
      </c>
      <c r="AX5" s="1086"/>
      <c r="AY5" s="1086" t="s">
        <v>351</v>
      </c>
      <c r="AZ5" s="1086"/>
      <c r="BA5" s="1086" t="s">
        <v>352</v>
      </c>
      <c r="BB5" s="1087"/>
      <c r="BC5" s="1071"/>
      <c r="BD5" s="1085"/>
      <c r="BF5" s="1055"/>
      <c r="BG5" s="1058"/>
    </row>
    <row r="6" spans="1:59" s="600" customFormat="1" ht="12.75" customHeight="1" thickBot="1">
      <c r="A6" s="1091" t="s">
        <v>353</v>
      </c>
      <c r="B6" s="1092"/>
      <c r="C6" s="607"/>
      <c r="D6" s="792">
        <v>0.29</v>
      </c>
      <c r="E6" s="795"/>
      <c r="F6" s="792">
        <v>0.02</v>
      </c>
      <c r="G6" s="795"/>
      <c r="H6" s="792">
        <v>0.05</v>
      </c>
      <c r="I6" s="801"/>
      <c r="J6" s="800">
        <v>0.03</v>
      </c>
      <c r="K6" s="609"/>
      <c r="L6" s="610"/>
      <c r="M6" s="611"/>
      <c r="N6" s="611"/>
      <c r="O6" s="612">
        <v>0.02</v>
      </c>
      <c r="P6" s="608"/>
      <c r="Q6" s="613"/>
      <c r="R6" s="608"/>
      <c r="S6" s="613"/>
      <c r="T6" s="608"/>
      <c r="U6" s="613"/>
      <c r="V6" s="614"/>
      <c r="W6" s="615">
        <v>0.32</v>
      </c>
      <c r="X6" s="616"/>
      <c r="Y6" s="617"/>
      <c r="Z6" s="618"/>
      <c r="AA6" s="611"/>
      <c r="AB6" s="619"/>
      <c r="AC6" s="611"/>
      <c r="AD6" s="618"/>
      <c r="AE6" s="614"/>
      <c r="AF6" s="620">
        <v>0.02</v>
      </c>
      <c r="AG6" s="621"/>
      <c r="AH6" s="618"/>
      <c r="AI6" s="611"/>
      <c r="AJ6" s="619"/>
      <c r="AK6" s="611"/>
      <c r="AL6" s="618"/>
      <c r="AM6" s="614"/>
      <c r="AN6" s="622">
        <v>0.03</v>
      </c>
      <c r="AO6" s="621"/>
      <c r="AP6" s="618"/>
      <c r="AQ6" s="611"/>
      <c r="AR6" s="619"/>
      <c r="AS6" s="611"/>
      <c r="AT6" s="618"/>
      <c r="AU6" s="614"/>
      <c r="AV6" s="622">
        <v>0.11</v>
      </c>
      <c r="AW6" s="621"/>
      <c r="AX6" s="618"/>
      <c r="AY6" s="611"/>
      <c r="AZ6" s="619"/>
      <c r="BA6" s="611"/>
      <c r="BB6" s="618"/>
      <c r="BC6" s="614"/>
      <c r="BD6" s="623">
        <v>0.11</v>
      </c>
      <c r="BF6" s="624">
        <f>SUM(C6:BD6)</f>
        <v>1</v>
      </c>
      <c r="BG6" s="625">
        <f>1_Bilance!O18</f>
        <v>3578306</v>
      </c>
    </row>
    <row r="7" spans="1:59" s="634" customFormat="1" ht="12.75" customHeight="1">
      <c r="A7" s="1093" t="s">
        <v>354</v>
      </c>
      <c r="B7" s="1094"/>
      <c r="C7" s="626"/>
      <c r="D7" s="635">
        <v>1.0000000000000004</v>
      </c>
      <c r="E7" s="630"/>
      <c r="F7" s="635">
        <f>SUM(F8:F33)</f>
        <v>1</v>
      </c>
      <c r="G7" s="630"/>
      <c r="H7" s="635">
        <f>SUM(H8:H33)</f>
        <v>1</v>
      </c>
      <c r="I7" s="802"/>
      <c r="J7" s="636">
        <f>SUM(J8:J33)</f>
        <v>0.9999999999999998</v>
      </c>
      <c r="K7" s="609"/>
      <c r="L7" s="628"/>
      <c r="M7" s="629"/>
      <c r="N7" s="629"/>
      <c r="O7" s="627">
        <f>SUM(O8:O33)</f>
        <v>0.9999999999999998</v>
      </c>
      <c r="P7" s="630"/>
      <c r="Q7" s="631"/>
      <c r="R7" s="632"/>
      <c r="S7" s="631"/>
      <c r="T7" s="632"/>
      <c r="U7" s="633"/>
      <c r="V7" s="632"/>
      <c r="W7" s="636">
        <f>SUM(W8:W33)</f>
        <v>1.0000000000000002</v>
      </c>
      <c r="Y7" s="626"/>
      <c r="Z7" s="631"/>
      <c r="AA7" s="632"/>
      <c r="AB7" s="631"/>
      <c r="AC7" s="632"/>
      <c r="AD7" s="633"/>
      <c r="AE7" s="632"/>
      <c r="AF7" s="633">
        <f>SUM(AF8:AF33)</f>
        <v>1</v>
      </c>
      <c r="AG7" s="630"/>
      <c r="AH7" s="631"/>
      <c r="AI7" s="632"/>
      <c r="AJ7" s="631"/>
      <c r="AK7" s="632"/>
      <c r="AL7" s="633"/>
      <c r="AM7" s="632"/>
      <c r="AN7" s="635">
        <f>SUM(AN8:AN33)</f>
        <v>1.0000000000000002</v>
      </c>
      <c r="AO7" s="630"/>
      <c r="AP7" s="631"/>
      <c r="AQ7" s="632"/>
      <c r="AR7" s="631"/>
      <c r="AS7" s="632"/>
      <c r="AT7" s="633"/>
      <c r="AU7" s="632"/>
      <c r="AV7" s="635">
        <f>SUM(AV8:AV33)</f>
        <v>1</v>
      </c>
      <c r="AW7" s="630"/>
      <c r="AX7" s="631"/>
      <c r="AY7" s="632"/>
      <c r="AZ7" s="631"/>
      <c r="BA7" s="632"/>
      <c r="BB7" s="633"/>
      <c r="BC7" s="632"/>
      <c r="BD7" s="636">
        <f>SUM(BD8:BD33)</f>
        <v>0.9999999999999997</v>
      </c>
      <c r="BF7" s="637">
        <f>SUM(BF8:BF33)</f>
        <v>1</v>
      </c>
      <c r="BG7" s="638">
        <f>SUM(BG8:BG33)</f>
        <v>3578306.0000000005</v>
      </c>
    </row>
    <row r="8" spans="1:59" s="600" customFormat="1" ht="11.25" customHeight="1">
      <c r="A8" s="639">
        <v>11000</v>
      </c>
      <c r="B8" s="640" t="s">
        <v>355</v>
      </c>
      <c r="C8" s="641"/>
      <c r="D8" s="793">
        <f aca="true" t="shared" si="0" ref="D8:D33">D64</f>
        <v>0.29618725548099184</v>
      </c>
      <c r="E8" s="796"/>
      <c r="F8" s="793">
        <f aca="true" t="shared" si="1" ref="F8:F33">F64</f>
        <v>0</v>
      </c>
      <c r="G8" s="798"/>
      <c r="H8" s="793">
        <f aca="true" t="shared" si="2" ref="H8:H33">(H64*5+H92*3+H120*2)/10</f>
        <v>0.25348234134294295</v>
      </c>
      <c r="I8" s="645"/>
      <c r="J8" s="650">
        <f>(J64*5+J92*3+J120*2)/10</f>
        <v>0.3035758712797441</v>
      </c>
      <c r="K8" s="609"/>
      <c r="L8" s="643"/>
      <c r="M8" s="644"/>
      <c r="N8" s="644"/>
      <c r="O8" s="642">
        <f>(O64*5+O92*3+O120*2)/10</f>
        <v>0.22349103924661357</v>
      </c>
      <c r="P8" s="645"/>
      <c r="Q8" s="646"/>
      <c r="R8" s="647"/>
      <c r="S8" s="646"/>
      <c r="T8" s="647"/>
      <c r="U8" s="609"/>
      <c r="V8" s="648"/>
      <c r="W8" s="650">
        <f aca="true" t="shared" si="3" ref="W8:W33">W64</f>
        <v>0.14276860568391028</v>
      </c>
      <c r="Y8" s="649"/>
      <c r="Z8" s="646"/>
      <c r="AA8" s="647"/>
      <c r="AB8" s="646"/>
      <c r="AC8" s="647"/>
      <c r="AD8" s="609"/>
      <c r="AE8" s="648"/>
      <c r="AF8" s="609">
        <f>(AF36*5+AF64*3+AF92*2)/10</f>
        <v>0.18151699921827874</v>
      </c>
      <c r="AG8" s="645"/>
      <c r="AH8" s="646"/>
      <c r="AI8" s="647"/>
      <c r="AJ8" s="646"/>
      <c r="AK8" s="647"/>
      <c r="AL8" s="609"/>
      <c r="AM8" s="648"/>
      <c r="AN8" s="609">
        <f>(AN36*5+AN64*3+AN92*2)/10</f>
        <v>0.5884133989818041</v>
      </c>
      <c r="AO8" s="645"/>
      <c r="AP8" s="646"/>
      <c r="AQ8" s="647"/>
      <c r="AR8" s="646"/>
      <c r="AS8" s="647"/>
      <c r="AT8" s="609"/>
      <c r="AU8" s="648"/>
      <c r="AV8" s="609">
        <f>(AV36*5+AV64*3+AV92*2)/10</f>
        <v>0.14319243683893468</v>
      </c>
      <c r="AW8" s="645"/>
      <c r="AX8" s="646"/>
      <c r="AY8" s="647"/>
      <c r="AZ8" s="646"/>
      <c r="BA8" s="647"/>
      <c r="BB8" s="609"/>
      <c r="BC8" s="648"/>
      <c r="BD8" s="650">
        <f>(BD36*5+BD64*3+BD92*2)/10</f>
        <v>0.24782465769158937</v>
      </c>
      <c r="BF8" s="651">
        <f aca="true" t="shared" si="4" ref="BF8:BF33">SUMPRODUCT(C$6:BD$6,C8:BD8)</f>
        <v>0.222126094250988</v>
      </c>
      <c r="BG8" s="652">
        <f aca="true" t="shared" si="5" ref="BG8:BG33">BF8*BG$6</f>
        <v>794835.1358148758</v>
      </c>
    </row>
    <row r="9" spans="1:59" s="600" customFormat="1" ht="11.25" customHeight="1">
      <c r="A9" s="639">
        <v>12000</v>
      </c>
      <c r="B9" s="640" t="s">
        <v>123</v>
      </c>
      <c r="C9" s="641"/>
      <c r="D9" s="793">
        <f t="shared" si="0"/>
        <v>0.03764482813163513</v>
      </c>
      <c r="E9" s="796"/>
      <c r="F9" s="793">
        <f t="shared" si="1"/>
        <v>0</v>
      </c>
      <c r="G9" s="798"/>
      <c r="H9" s="793">
        <f t="shared" si="2"/>
        <v>0.032299052127211056</v>
      </c>
      <c r="I9" s="645"/>
      <c r="J9" s="650">
        <f aca="true" t="shared" si="6" ref="J9:J33">(J65*5+J93*3+J121*2)/10</f>
        <v>0.023481443220723947</v>
      </c>
      <c r="K9" s="609"/>
      <c r="L9" s="643"/>
      <c r="M9" s="644"/>
      <c r="N9" s="644"/>
      <c r="O9" s="642">
        <f aca="true" t="shared" si="7" ref="O9:O32">(O65*5+O93*3+O121*2)/10</f>
        <v>0.02804495062774675</v>
      </c>
      <c r="P9" s="645"/>
      <c r="Q9" s="646"/>
      <c r="R9" s="647"/>
      <c r="S9" s="646"/>
      <c r="T9" s="647"/>
      <c r="U9" s="609"/>
      <c r="V9" s="653"/>
      <c r="W9" s="650">
        <f t="shared" si="3"/>
        <v>0.043548228655122104</v>
      </c>
      <c r="Y9" s="649"/>
      <c r="Z9" s="646"/>
      <c r="AA9" s="647"/>
      <c r="AB9" s="646"/>
      <c r="AC9" s="647"/>
      <c r="AD9" s="609"/>
      <c r="AE9" s="653"/>
      <c r="AF9" s="609">
        <f aca="true" t="shared" si="8" ref="AF9:AF32">(AF37*5+AF65*3+AF93*2)/10</f>
        <v>0.010122438379145449</v>
      </c>
      <c r="AG9" s="645"/>
      <c r="AH9" s="646"/>
      <c r="AI9" s="647"/>
      <c r="AJ9" s="646"/>
      <c r="AK9" s="647"/>
      <c r="AL9" s="609"/>
      <c r="AM9" s="653"/>
      <c r="AN9" s="609">
        <f aca="true" t="shared" si="9" ref="AN9:AN32">(AN37*5+AN65*3+AN93*2)/10</f>
        <v>0</v>
      </c>
      <c r="AO9" s="645"/>
      <c r="AP9" s="646"/>
      <c r="AQ9" s="647"/>
      <c r="AR9" s="646"/>
      <c r="AS9" s="647"/>
      <c r="AT9" s="609"/>
      <c r="AU9" s="648"/>
      <c r="AV9" s="609">
        <f aca="true" t="shared" si="10" ref="AV9:AV33">(AV37*5+AV65*3+AV93*2)/10</f>
        <v>0.020048592589315246</v>
      </c>
      <c r="AW9" s="645"/>
      <c r="AX9" s="646"/>
      <c r="AY9" s="647"/>
      <c r="AZ9" s="646"/>
      <c r="BA9" s="647"/>
      <c r="BB9" s="609"/>
      <c r="BC9" s="648"/>
      <c r="BD9" s="650">
        <f aca="true" t="shared" si="11" ref="BD9:BD33">(BD37*5+BD65*3+BD93*2)/10</f>
        <v>0.007168689832880365</v>
      </c>
      <c r="BF9" s="651">
        <f t="shared" si="4"/>
        <v>0.030929078077374897</v>
      </c>
      <c r="BG9" s="652">
        <f t="shared" si="5"/>
        <v>110673.70565873905</v>
      </c>
    </row>
    <row r="10" spans="1:59" s="600" customFormat="1" ht="11.25" customHeight="1">
      <c r="A10" s="639">
        <v>13000</v>
      </c>
      <c r="B10" s="640" t="s">
        <v>356</v>
      </c>
      <c r="C10" s="641"/>
      <c r="D10" s="793">
        <f t="shared" si="0"/>
        <v>0.008077444629831726</v>
      </c>
      <c r="E10" s="796"/>
      <c r="F10" s="793">
        <f t="shared" si="1"/>
        <v>0.05101448562504611</v>
      </c>
      <c r="G10" s="798"/>
      <c r="H10" s="793">
        <f t="shared" si="2"/>
        <v>0.007268481188350047</v>
      </c>
      <c r="I10" s="645"/>
      <c r="J10" s="650">
        <f t="shared" si="6"/>
        <v>0.011531187741436865</v>
      </c>
      <c r="K10" s="609"/>
      <c r="L10" s="643"/>
      <c r="M10" s="644"/>
      <c r="N10" s="644"/>
      <c r="O10" s="642">
        <f t="shared" si="7"/>
        <v>0.02206090555361924</v>
      </c>
      <c r="P10" s="645"/>
      <c r="Q10" s="646"/>
      <c r="R10" s="647"/>
      <c r="S10" s="646"/>
      <c r="T10" s="647"/>
      <c r="U10" s="609"/>
      <c r="V10" s="653"/>
      <c r="W10" s="650">
        <f t="shared" si="3"/>
        <v>0.027812141615428155</v>
      </c>
      <c r="Y10" s="649"/>
      <c r="Z10" s="646"/>
      <c r="AA10" s="647"/>
      <c r="AB10" s="646"/>
      <c r="AC10" s="647"/>
      <c r="AD10" s="609"/>
      <c r="AE10" s="653"/>
      <c r="AF10" s="609">
        <f t="shared" si="8"/>
        <v>0.008011541290153228</v>
      </c>
      <c r="AG10" s="645"/>
      <c r="AH10" s="646"/>
      <c r="AI10" s="647"/>
      <c r="AJ10" s="646"/>
      <c r="AK10" s="647"/>
      <c r="AL10" s="609"/>
      <c r="AM10" s="653"/>
      <c r="AN10" s="609">
        <f t="shared" si="9"/>
        <v>0.001504037532547317</v>
      </c>
      <c r="AO10" s="645"/>
      <c r="AP10" s="646"/>
      <c r="AQ10" s="647"/>
      <c r="AR10" s="646"/>
      <c r="AS10" s="647"/>
      <c r="AT10" s="609"/>
      <c r="AU10" s="648"/>
      <c r="AV10" s="609">
        <f t="shared" si="10"/>
        <v>0.03169529577354652</v>
      </c>
      <c r="AW10" s="645"/>
      <c r="AX10" s="646"/>
      <c r="AY10" s="647"/>
      <c r="AZ10" s="646"/>
      <c r="BA10" s="647"/>
      <c r="BB10" s="609"/>
      <c r="BC10" s="648"/>
      <c r="BD10" s="650">
        <f t="shared" si="11"/>
        <v>0.011220313282039266</v>
      </c>
      <c r="BF10" s="651">
        <f t="shared" si="4"/>
        <v>0.018339280722716043</v>
      </c>
      <c r="BG10" s="652">
        <f t="shared" si="5"/>
        <v>65623.55824577915</v>
      </c>
    </row>
    <row r="11" spans="1:59" s="600" customFormat="1" ht="11.25" customHeight="1">
      <c r="A11" s="639">
        <v>14000</v>
      </c>
      <c r="B11" s="640" t="s">
        <v>125</v>
      </c>
      <c r="C11" s="641"/>
      <c r="D11" s="793">
        <f t="shared" si="0"/>
        <v>0.11381317275597282</v>
      </c>
      <c r="E11" s="796"/>
      <c r="F11" s="793">
        <f t="shared" si="1"/>
        <v>0</v>
      </c>
      <c r="G11" s="798"/>
      <c r="H11" s="793">
        <f t="shared" si="2"/>
        <v>0.11964787940883947</v>
      </c>
      <c r="I11" s="645"/>
      <c r="J11" s="650">
        <f t="shared" si="6"/>
        <v>0.09553546180627814</v>
      </c>
      <c r="K11" s="609"/>
      <c r="L11" s="643"/>
      <c r="M11" s="644"/>
      <c r="N11" s="644"/>
      <c r="O11" s="642">
        <f t="shared" si="7"/>
        <v>0.09437410005938826</v>
      </c>
      <c r="P11" s="645"/>
      <c r="Q11" s="646"/>
      <c r="R11" s="647"/>
      <c r="S11" s="646"/>
      <c r="T11" s="647"/>
      <c r="U11" s="609"/>
      <c r="V11" s="653"/>
      <c r="W11" s="650">
        <f t="shared" si="3"/>
        <v>0.09463697747367239</v>
      </c>
      <c r="Y11" s="649"/>
      <c r="Z11" s="646"/>
      <c r="AA11" s="647"/>
      <c r="AB11" s="646"/>
      <c r="AC11" s="647"/>
      <c r="AD11" s="609"/>
      <c r="AE11" s="653"/>
      <c r="AF11" s="609">
        <f t="shared" si="8"/>
        <v>0.2222556115092799</v>
      </c>
      <c r="AG11" s="645"/>
      <c r="AH11" s="646"/>
      <c r="AI11" s="647"/>
      <c r="AJ11" s="646"/>
      <c r="AK11" s="647"/>
      <c r="AL11" s="609"/>
      <c r="AM11" s="653"/>
      <c r="AN11" s="609">
        <f t="shared" si="9"/>
        <v>0.12828526489930056</v>
      </c>
      <c r="AO11" s="645"/>
      <c r="AP11" s="646"/>
      <c r="AQ11" s="647"/>
      <c r="AR11" s="646"/>
      <c r="AS11" s="647"/>
      <c r="AT11" s="609"/>
      <c r="AU11" s="648"/>
      <c r="AV11" s="609">
        <f t="shared" si="10"/>
        <v>0.18714766527859814</v>
      </c>
      <c r="AW11" s="645"/>
      <c r="AX11" s="646"/>
      <c r="AY11" s="647"/>
      <c r="AZ11" s="646"/>
      <c r="BA11" s="647"/>
      <c r="BB11" s="609"/>
      <c r="BC11" s="648"/>
      <c r="BD11" s="650">
        <f t="shared" si="11"/>
        <v>0.1625632104556542</v>
      </c>
      <c r="BF11" s="651">
        <f t="shared" si="4"/>
        <v>0.12078745922455773</v>
      </c>
      <c r="BG11" s="652">
        <f t="shared" si="5"/>
        <v>432214.49006799026</v>
      </c>
    </row>
    <row r="12" spans="1:59" s="600" customFormat="1" ht="11.25" customHeight="1">
      <c r="A12" s="639">
        <v>15000</v>
      </c>
      <c r="B12" s="640" t="s">
        <v>357</v>
      </c>
      <c r="C12" s="641"/>
      <c r="D12" s="793">
        <f t="shared" si="0"/>
        <v>0.07087356671159328</v>
      </c>
      <c r="E12" s="796"/>
      <c r="F12" s="793">
        <f t="shared" si="1"/>
        <v>0</v>
      </c>
      <c r="G12" s="798"/>
      <c r="H12" s="793">
        <f t="shared" si="2"/>
        <v>0.06051774241635286</v>
      </c>
      <c r="I12" s="645"/>
      <c r="J12" s="650">
        <f t="shared" si="6"/>
        <v>0.05158602250420332</v>
      </c>
      <c r="K12" s="609"/>
      <c r="L12" s="643"/>
      <c r="M12" s="644"/>
      <c r="N12" s="644"/>
      <c r="O12" s="642">
        <f t="shared" si="7"/>
        <v>0.06239986531109435</v>
      </c>
      <c r="P12" s="645"/>
      <c r="Q12" s="646"/>
      <c r="R12" s="647"/>
      <c r="S12" s="646"/>
      <c r="T12" s="647"/>
      <c r="U12" s="609"/>
      <c r="V12" s="653"/>
      <c r="W12" s="650">
        <f t="shared" si="3"/>
        <v>0.066168379938344</v>
      </c>
      <c r="Y12" s="649"/>
      <c r="Z12" s="646"/>
      <c r="AA12" s="647"/>
      <c r="AB12" s="646"/>
      <c r="AC12" s="647"/>
      <c r="AD12" s="609"/>
      <c r="AE12" s="653"/>
      <c r="AF12" s="609">
        <f t="shared" si="8"/>
        <v>0.040190013493483355</v>
      </c>
      <c r="AG12" s="645"/>
      <c r="AH12" s="646"/>
      <c r="AI12" s="647"/>
      <c r="AJ12" s="646"/>
      <c r="AK12" s="647"/>
      <c r="AL12" s="609"/>
      <c r="AM12" s="653"/>
      <c r="AN12" s="609">
        <f t="shared" si="9"/>
        <v>0.07124557338486344</v>
      </c>
      <c r="AO12" s="645"/>
      <c r="AP12" s="646"/>
      <c r="AQ12" s="647"/>
      <c r="AR12" s="646"/>
      <c r="AS12" s="647"/>
      <c r="AT12" s="609"/>
      <c r="AU12" s="648"/>
      <c r="AV12" s="609">
        <f t="shared" si="10"/>
        <v>0.07582832116305677</v>
      </c>
      <c r="AW12" s="645"/>
      <c r="AX12" s="646"/>
      <c r="AY12" s="647"/>
      <c r="AZ12" s="646"/>
      <c r="BA12" s="647"/>
      <c r="BB12" s="609"/>
      <c r="BC12" s="648"/>
      <c r="BD12" s="650">
        <f t="shared" si="11"/>
        <v>0.038858490279958684</v>
      </c>
      <c r="BF12" s="651">
        <f t="shared" si="4"/>
        <v>0.06310539775894503</v>
      </c>
      <c r="BG12" s="652">
        <f t="shared" si="5"/>
        <v>225810.42343321955</v>
      </c>
    </row>
    <row r="13" spans="1:59" s="600" customFormat="1" ht="11.25" customHeight="1">
      <c r="A13" s="639">
        <v>16000</v>
      </c>
      <c r="B13" s="640" t="s">
        <v>265</v>
      </c>
      <c r="C13" s="641"/>
      <c r="D13" s="793">
        <f t="shared" si="0"/>
        <v>0.010869404239065902</v>
      </c>
      <c r="E13" s="796"/>
      <c r="F13" s="793">
        <f t="shared" si="1"/>
        <v>0</v>
      </c>
      <c r="G13" s="798"/>
      <c r="H13" s="793">
        <f t="shared" si="2"/>
        <v>0.008031983822396567</v>
      </c>
      <c r="I13" s="645"/>
      <c r="J13" s="650">
        <f t="shared" si="6"/>
        <v>0.017707169317073522</v>
      </c>
      <c r="K13" s="609"/>
      <c r="L13" s="643"/>
      <c r="M13" s="644"/>
      <c r="N13" s="644"/>
      <c r="O13" s="642">
        <f t="shared" si="7"/>
        <v>0.014550649085515946</v>
      </c>
      <c r="P13" s="645"/>
      <c r="Q13" s="646"/>
      <c r="R13" s="647"/>
      <c r="S13" s="646"/>
      <c r="T13" s="647"/>
      <c r="U13" s="609"/>
      <c r="V13" s="653"/>
      <c r="W13" s="650">
        <f t="shared" si="3"/>
        <v>0.017731027043002796</v>
      </c>
      <c r="Y13" s="649"/>
      <c r="Z13" s="646"/>
      <c r="AA13" s="647"/>
      <c r="AB13" s="646"/>
      <c r="AC13" s="647"/>
      <c r="AD13" s="609"/>
      <c r="AE13" s="653"/>
      <c r="AF13" s="609">
        <f t="shared" si="8"/>
        <v>0.015216059284485675</v>
      </c>
      <c r="AG13" s="645"/>
      <c r="AH13" s="646"/>
      <c r="AI13" s="647"/>
      <c r="AJ13" s="646"/>
      <c r="AK13" s="647"/>
      <c r="AL13" s="609"/>
      <c r="AM13" s="653"/>
      <c r="AN13" s="609">
        <f t="shared" si="9"/>
        <v>0.057104473820240066</v>
      </c>
      <c r="AO13" s="645"/>
      <c r="AP13" s="646"/>
      <c r="AQ13" s="647"/>
      <c r="AR13" s="646"/>
      <c r="AS13" s="647"/>
      <c r="AT13" s="609"/>
      <c r="AU13" s="648"/>
      <c r="AV13" s="609">
        <f t="shared" si="10"/>
        <v>0.006344392271491145</v>
      </c>
      <c r="AW13" s="645"/>
      <c r="AX13" s="646"/>
      <c r="AY13" s="647"/>
      <c r="AZ13" s="646"/>
      <c r="BA13" s="647"/>
      <c r="BB13" s="609"/>
      <c r="BC13" s="648"/>
      <c r="BD13" s="650">
        <f t="shared" si="11"/>
        <v>0.006197609609014452</v>
      </c>
      <c r="BF13" s="651">
        <f t="shared" si="4"/>
        <v>0.01344695874258489</v>
      </c>
      <c r="BG13" s="652">
        <f t="shared" si="5"/>
        <v>48117.33315034397</v>
      </c>
    </row>
    <row r="14" spans="1:59" s="600" customFormat="1" ht="11.25" customHeight="1">
      <c r="A14" s="639">
        <v>17000</v>
      </c>
      <c r="B14" s="640" t="s">
        <v>128</v>
      </c>
      <c r="C14" s="641"/>
      <c r="D14" s="793">
        <f t="shared" si="0"/>
        <v>0.013510990474941337</v>
      </c>
      <c r="E14" s="796"/>
      <c r="F14" s="793">
        <f t="shared" si="1"/>
        <v>0.0700351688350016</v>
      </c>
      <c r="G14" s="798"/>
      <c r="H14" s="793">
        <f t="shared" si="2"/>
        <v>0.009819651052754294</v>
      </c>
      <c r="I14" s="645"/>
      <c r="J14" s="650">
        <f t="shared" si="6"/>
        <v>0.011901750644432356</v>
      </c>
      <c r="K14" s="609"/>
      <c r="L14" s="643"/>
      <c r="M14" s="644"/>
      <c r="N14" s="644"/>
      <c r="O14" s="642">
        <f t="shared" si="7"/>
        <v>0.021966493171400515</v>
      </c>
      <c r="P14" s="645"/>
      <c r="Q14" s="646"/>
      <c r="R14" s="647"/>
      <c r="S14" s="646"/>
      <c r="T14" s="647"/>
      <c r="U14" s="609"/>
      <c r="V14" s="653"/>
      <c r="W14" s="650">
        <f t="shared" si="3"/>
        <v>0.03184950849211186</v>
      </c>
      <c r="Y14" s="649"/>
      <c r="Z14" s="646"/>
      <c r="AA14" s="647"/>
      <c r="AB14" s="646"/>
      <c r="AC14" s="647"/>
      <c r="AD14" s="609"/>
      <c r="AE14" s="653"/>
      <c r="AF14" s="609">
        <f t="shared" si="8"/>
        <v>0.011625288363617288</v>
      </c>
      <c r="AG14" s="645"/>
      <c r="AH14" s="646"/>
      <c r="AI14" s="647"/>
      <c r="AJ14" s="646"/>
      <c r="AK14" s="647"/>
      <c r="AL14" s="609"/>
      <c r="AM14" s="653"/>
      <c r="AN14" s="609">
        <f t="shared" si="9"/>
        <v>0.02262959499279581</v>
      </c>
      <c r="AO14" s="645"/>
      <c r="AP14" s="646"/>
      <c r="AQ14" s="647"/>
      <c r="AR14" s="646"/>
      <c r="AS14" s="647"/>
      <c r="AT14" s="609"/>
      <c r="AU14" s="648"/>
      <c r="AV14" s="609">
        <f t="shared" si="10"/>
        <v>0.028947064950714262</v>
      </c>
      <c r="AW14" s="645"/>
      <c r="AX14" s="646"/>
      <c r="AY14" s="647"/>
      <c r="AZ14" s="646"/>
      <c r="BA14" s="647"/>
      <c r="BB14" s="609"/>
      <c r="BC14" s="648"/>
      <c r="BD14" s="650">
        <f t="shared" si="11"/>
        <v>0.017526489541027243</v>
      </c>
      <c r="BF14" s="651">
        <f t="shared" si="4"/>
        <v>0.022821582878455295</v>
      </c>
      <c r="BG14" s="652">
        <f t="shared" si="5"/>
        <v>81662.60694347385</v>
      </c>
    </row>
    <row r="15" spans="1:59" s="600" customFormat="1" ht="11.25" customHeight="1">
      <c r="A15" s="639">
        <v>18000</v>
      </c>
      <c r="B15" s="640" t="s">
        <v>129</v>
      </c>
      <c r="C15" s="641"/>
      <c r="D15" s="793">
        <f t="shared" si="0"/>
        <v>0.006061547102794608</v>
      </c>
      <c r="E15" s="796"/>
      <c r="F15" s="793">
        <f t="shared" si="1"/>
        <v>0</v>
      </c>
      <c r="G15" s="798"/>
      <c r="H15" s="793">
        <f t="shared" si="2"/>
        <v>0.003155857519737663</v>
      </c>
      <c r="I15" s="645"/>
      <c r="J15" s="650">
        <f t="shared" si="6"/>
        <v>0.009478124986950696</v>
      </c>
      <c r="K15" s="609"/>
      <c r="L15" s="643"/>
      <c r="M15" s="644"/>
      <c r="N15" s="644"/>
      <c r="O15" s="642">
        <f t="shared" si="7"/>
        <v>0.017762929884578817</v>
      </c>
      <c r="P15" s="645"/>
      <c r="Q15" s="646"/>
      <c r="R15" s="647"/>
      <c r="S15" s="646"/>
      <c r="T15" s="647"/>
      <c r="U15" s="609"/>
      <c r="V15" s="653"/>
      <c r="W15" s="650">
        <f t="shared" si="3"/>
        <v>0.024330037882635616</v>
      </c>
      <c r="Y15" s="649"/>
      <c r="Z15" s="646"/>
      <c r="AA15" s="647"/>
      <c r="AB15" s="646"/>
      <c r="AC15" s="647"/>
      <c r="AD15" s="609"/>
      <c r="AE15" s="653"/>
      <c r="AF15" s="609">
        <f t="shared" si="8"/>
        <v>0.0036138804418947472</v>
      </c>
      <c r="AG15" s="645"/>
      <c r="AH15" s="646"/>
      <c r="AI15" s="647"/>
      <c r="AJ15" s="646"/>
      <c r="AK15" s="647"/>
      <c r="AL15" s="609"/>
      <c r="AM15" s="653"/>
      <c r="AN15" s="609">
        <f t="shared" si="9"/>
        <v>0.004884383897844069</v>
      </c>
      <c r="AO15" s="645"/>
      <c r="AP15" s="646"/>
      <c r="AQ15" s="647"/>
      <c r="AR15" s="646"/>
      <c r="AS15" s="647"/>
      <c r="AT15" s="609"/>
      <c r="AU15" s="648"/>
      <c r="AV15" s="609">
        <f t="shared" si="10"/>
        <v>0.020853459383854845</v>
      </c>
      <c r="AW15" s="645"/>
      <c r="AX15" s="646"/>
      <c r="AY15" s="647"/>
      <c r="AZ15" s="646"/>
      <c r="BA15" s="647"/>
      <c r="BB15" s="609"/>
      <c r="BC15" s="648"/>
      <c r="BD15" s="650">
        <f t="shared" si="11"/>
        <v>0.01004641240097134</v>
      </c>
      <c r="BF15" s="651">
        <f t="shared" si="4"/>
        <v>0.01395865102764491</v>
      </c>
      <c r="BG15" s="652">
        <f t="shared" si="5"/>
        <v>49948.324724127946</v>
      </c>
    </row>
    <row r="16" spans="1:59" s="600" customFormat="1" ht="11.25" customHeight="1">
      <c r="A16" s="639">
        <v>19000</v>
      </c>
      <c r="B16" s="640" t="s">
        <v>130</v>
      </c>
      <c r="C16" s="641"/>
      <c r="D16" s="793">
        <f t="shared" si="0"/>
        <v>0.0073828456580551025</v>
      </c>
      <c r="E16" s="796"/>
      <c r="F16" s="793">
        <f t="shared" si="1"/>
        <v>0.01926170040087553</v>
      </c>
      <c r="G16" s="798"/>
      <c r="H16" s="793">
        <f t="shared" si="2"/>
        <v>0.003331000297873059</v>
      </c>
      <c r="I16" s="645"/>
      <c r="J16" s="650">
        <f t="shared" si="6"/>
        <v>0.011282315549824855</v>
      </c>
      <c r="K16" s="609"/>
      <c r="L16" s="643"/>
      <c r="M16" s="644"/>
      <c r="N16" s="644"/>
      <c r="O16" s="642">
        <f t="shared" si="7"/>
        <v>0.010897802140502705</v>
      </c>
      <c r="P16" s="645"/>
      <c r="Q16" s="646"/>
      <c r="R16" s="647"/>
      <c r="S16" s="646"/>
      <c r="T16" s="647"/>
      <c r="U16" s="609"/>
      <c r="V16" s="653"/>
      <c r="W16" s="650">
        <f t="shared" si="3"/>
        <v>0.02229296601297209</v>
      </c>
      <c r="Y16" s="649"/>
      <c r="Z16" s="646"/>
      <c r="AA16" s="647"/>
      <c r="AB16" s="646"/>
      <c r="AC16" s="647"/>
      <c r="AD16" s="609"/>
      <c r="AE16" s="653"/>
      <c r="AF16" s="609">
        <f t="shared" si="8"/>
        <v>0.018949209597946673</v>
      </c>
      <c r="AG16" s="645"/>
      <c r="AH16" s="646"/>
      <c r="AI16" s="647"/>
      <c r="AJ16" s="646"/>
      <c r="AK16" s="647"/>
      <c r="AL16" s="609"/>
      <c r="AM16" s="653"/>
      <c r="AN16" s="609">
        <f t="shared" si="9"/>
        <v>0</v>
      </c>
      <c r="AO16" s="645"/>
      <c r="AP16" s="646"/>
      <c r="AQ16" s="647"/>
      <c r="AR16" s="646"/>
      <c r="AS16" s="647"/>
      <c r="AT16" s="609"/>
      <c r="AU16" s="648"/>
      <c r="AV16" s="609">
        <f t="shared" si="10"/>
        <v>0.012426006742369478</v>
      </c>
      <c r="AW16" s="645"/>
      <c r="AX16" s="646"/>
      <c r="AY16" s="647"/>
      <c r="AZ16" s="646"/>
      <c r="BA16" s="647"/>
      <c r="BB16" s="609"/>
      <c r="BC16" s="648"/>
      <c r="BD16" s="650">
        <f t="shared" si="11"/>
        <v>0.0033585857858437146</v>
      </c>
      <c r="BF16" s="651">
        <f t="shared" si="4"/>
        <v>0.012498273267265396</v>
      </c>
      <c r="BG16" s="652">
        <f t="shared" si="5"/>
        <v>44722.646221895375</v>
      </c>
    </row>
    <row r="17" spans="1:59" s="600" customFormat="1" ht="11.25" customHeight="1">
      <c r="A17" s="639">
        <v>21000</v>
      </c>
      <c r="B17" s="640" t="s">
        <v>131</v>
      </c>
      <c r="C17" s="641"/>
      <c r="D17" s="793">
        <f t="shared" si="0"/>
        <v>0.12220271743183743</v>
      </c>
      <c r="E17" s="796"/>
      <c r="F17" s="793">
        <f t="shared" si="1"/>
        <v>0.029773001155898773</v>
      </c>
      <c r="G17" s="798"/>
      <c r="H17" s="793">
        <f t="shared" si="2"/>
        <v>0.14832849540619203</v>
      </c>
      <c r="I17" s="645"/>
      <c r="J17" s="650">
        <f t="shared" si="6"/>
        <v>0.12318258994237245</v>
      </c>
      <c r="K17" s="609"/>
      <c r="L17" s="643"/>
      <c r="M17" s="644"/>
      <c r="N17" s="644"/>
      <c r="O17" s="642">
        <f t="shared" si="7"/>
        <v>0.09466175297552795</v>
      </c>
      <c r="P17" s="645"/>
      <c r="Q17" s="646"/>
      <c r="R17" s="647"/>
      <c r="S17" s="646"/>
      <c r="T17" s="647"/>
      <c r="U17" s="609"/>
      <c r="V17" s="653"/>
      <c r="W17" s="650">
        <f t="shared" si="3"/>
        <v>0.06662444521576974</v>
      </c>
      <c r="Y17" s="649"/>
      <c r="Z17" s="646"/>
      <c r="AA17" s="647"/>
      <c r="AB17" s="646"/>
      <c r="AC17" s="647"/>
      <c r="AD17" s="609"/>
      <c r="AE17" s="653"/>
      <c r="AF17" s="609">
        <f t="shared" si="8"/>
        <v>0.0761570573268146</v>
      </c>
      <c r="AG17" s="645"/>
      <c r="AH17" s="646"/>
      <c r="AI17" s="647"/>
      <c r="AJ17" s="646"/>
      <c r="AK17" s="647"/>
      <c r="AL17" s="609"/>
      <c r="AM17" s="653"/>
      <c r="AN17" s="609">
        <f t="shared" si="9"/>
        <v>0.03377604070076908</v>
      </c>
      <c r="AO17" s="645"/>
      <c r="AP17" s="646"/>
      <c r="AQ17" s="647"/>
      <c r="AR17" s="646"/>
      <c r="AS17" s="647"/>
      <c r="AT17" s="609"/>
      <c r="AU17" s="648"/>
      <c r="AV17" s="609">
        <f t="shared" si="10"/>
        <v>0.062191928638627346</v>
      </c>
      <c r="AW17" s="645"/>
      <c r="AX17" s="646"/>
      <c r="AY17" s="647"/>
      <c r="AZ17" s="646"/>
      <c r="BA17" s="647"/>
      <c r="BB17" s="609"/>
      <c r="BC17" s="648"/>
      <c r="BD17" s="650">
        <f t="shared" si="11"/>
        <v>0.10858962894563995</v>
      </c>
      <c r="BF17" s="651">
        <f t="shared" si="4"/>
        <v>0.09168160177731724</v>
      </c>
      <c r="BG17" s="652">
        <f t="shared" si="5"/>
        <v>328064.82572938496</v>
      </c>
    </row>
    <row r="18" spans="1:59" s="600" customFormat="1" ht="11.25" customHeight="1">
      <c r="A18" s="639">
        <v>22000</v>
      </c>
      <c r="B18" s="640" t="s">
        <v>270</v>
      </c>
      <c r="C18" s="641"/>
      <c r="D18" s="793">
        <f t="shared" si="0"/>
        <v>0.04590276004435802</v>
      </c>
      <c r="E18" s="796"/>
      <c r="F18" s="793">
        <f t="shared" si="1"/>
        <v>0</v>
      </c>
      <c r="G18" s="798"/>
      <c r="H18" s="793">
        <f t="shared" si="2"/>
        <v>0.04610324370893288</v>
      </c>
      <c r="I18" s="645"/>
      <c r="J18" s="650">
        <f t="shared" si="6"/>
        <v>0.026675506427173507</v>
      </c>
      <c r="K18" s="609"/>
      <c r="L18" s="643"/>
      <c r="M18" s="644"/>
      <c r="N18" s="644"/>
      <c r="O18" s="642">
        <f t="shared" si="7"/>
        <v>0.03063730215082574</v>
      </c>
      <c r="P18" s="645"/>
      <c r="Q18" s="646"/>
      <c r="R18" s="647"/>
      <c r="S18" s="646"/>
      <c r="T18" s="647"/>
      <c r="U18" s="609"/>
      <c r="V18" s="653"/>
      <c r="W18" s="650">
        <f t="shared" si="3"/>
        <v>0.015157561256333777</v>
      </c>
      <c r="Y18" s="649"/>
      <c r="Z18" s="646"/>
      <c r="AA18" s="647"/>
      <c r="AB18" s="646"/>
      <c r="AC18" s="647"/>
      <c r="AD18" s="609"/>
      <c r="AE18" s="653"/>
      <c r="AF18" s="609">
        <f t="shared" si="8"/>
        <v>0.015455132207444608</v>
      </c>
      <c r="AG18" s="645"/>
      <c r="AH18" s="646"/>
      <c r="AI18" s="647"/>
      <c r="AJ18" s="646"/>
      <c r="AK18" s="647"/>
      <c r="AL18" s="609"/>
      <c r="AM18" s="653"/>
      <c r="AN18" s="609">
        <f t="shared" si="9"/>
        <v>0.008361537684883706</v>
      </c>
      <c r="AO18" s="645"/>
      <c r="AP18" s="646"/>
      <c r="AQ18" s="647"/>
      <c r="AR18" s="646"/>
      <c r="AS18" s="647"/>
      <c r="AT18" s="609"/>
      <c r="AU18" s="648"/>
      <c r="AV18" s="609">
        <f t="shared" si="10"/>
        <v>0.008144743874058072</v>
      </c>
      <c r="AW18" s="645"/>
      <c r="AX18" s="646"/>
      <c r="AY18" s="647"/>
      <c r="AZ18" s="646"/>
      <c r="BA18" s="647"/>
      <c r="BB18" s="609"/>
      <c r="BC18" s="648"/>
      <c r="BD18" s="650">
        <f t="shared" si="11"/>
        <v>0.01571545991118962</v>
      </c>
      <c r="BF18" s="651">
        <f t="shared" si="4"/>
        <v>0.025064964627241646</v>
      </c>
      <c r="BG18" s="652">
        <f t="shared" si="5"/>
        <v>89690.11331544655</v>
      </c>
    </row>
    <row r="19" spans="1:59" s="600" customFormat="1" ht="11.25" customHeight="1">
      <c r="A19" s="639">
        <v>23000</v>
      </c>
      <c r="B19" s="640" t="s">
        <v>358</v>
      </c>
      <c r="C19" s="641"/>
      <c r="D19" s="793">
        <f t="shared" si="0"/>
        <v>0.03602135133422587</v>
      </c>
      <c r="E19" s="796"/>
      <c r="F19" s="793">
        <f t="shared" si="1"/>
        <v>0.06820540567128207</v>
      </c>
      <c r="G19" s="798"/>
      <c r="H19" s="793">
        <f t="shared" si="2"/>
        <v>0.04157231396833519</v>
      </c>
      <c r="I19" s="645"/>
      <c r="J19" s="650">
        <f t="shared" si="6"/>
        <v>0.025244010708769637</v>
      </c>
      <c r="K19" s="609"/>
      <c r="L19" s="643"/>
      <c r="M19" s="644"/>
      <c r="N19" s="644"/>
      <c r="O19" s="642">
        <f t="shared" si="7"/>
        <v>0.035304219472115886</v>
      </c>
      <c r="P19" s="645"/>
      <c r="Q19" s="646"/>
      <c r="R19" s="647"/>
      <c r="S19" s="646"/>
      <c r="T19" s="647"/>
      <c r="U19" s="609"/>
      <c r="V19" s="653"/>
      <c r="W19" s="650">
        <f t="shared" si="3"/>
        <v>0.0471426922433195</v>
      </c>
      <c r="Y19" s="649"/>
      <c r="Z19" s="646"/>
      <c r="AA19" s="647"/>
      <c r="AB19" s="646"/>
      <c r="AC19" s="647"/>
      <c r="AD19" s="609"/>
      <c r="AE19" s="653"/>
      <c r="AF19" s="609">
        <f t="shared" si="8"/>
        <v>0.013576732341886225</v>
      </c>
      <c r="AG19" s="645"/>
      <c r="AH19" s="646"/>
      <c r="AI19" s="647"/>
      <c r="AJ19" s="646"/>
      <c r="AK19" s="647"/>
      <c r="AL19" s="609"/>
      <c r="AM19" s="653"/>
      <c r="AN19" s="609">
        <f t="shared" si="9"/>
        <v>0.00035203003989673785</v>
      </c>
      <c r="AO19" s="645"/>
      <c r="AP19" s="646"/>
      <c r="AQ19" s="647"/>
      <c r="AR19" s="646"/>
      <c r="AS19" s="647"/>
      <c r="AT19" s="609"/>
      <c r="AU19" s="648"/>
      <c r="AV19" s="609">
        <f t="shared" si="10"/>
        <v>0.0415105839127994</v>
      </c>
      <c r="AW19" s="645"/>
      <c r="AX19" s="646"/>
      <c r="AY19" s="647"/>
      <c r="AZ19" s="646"/>
      <c r="BA19" s="647"/>
      <c r="BB19" s="609"/>
      <c r="BC19" s="648"/>
      <c r="BD19" s="650">
        <f t="shared" si="11"/>
        <v>0.03593784591915793</v>
      </c>
      <c r="BF19" s="651">
        <f t="shared" si="4"/>
        <v>0.03923940475688548</v>
      </c>
      <c r="BG19" s="652">
        <f t="shared" si="5"/>
        <v>140410.59747799186</v>
      </c>
    </row>
    <row r="20" spans="1:59" s="600" customFormat="1" ht="11.25" customHeight="1">
      <c r="A20" s="639">
        <v>24000</v>
      </c>
      <c r="B20" s="640" t="s">
        <v>134</v>
      </c>
      <c r="C20" s="641"/>
      <c r="D20" s="793">
        <f t="shared" si="0"/>
        <v>0.014801329840215224</v>
      </c>
      <c r="E20" s="796"/>
      <c r="F20" s="793">
        <f t="shared" si="1"/>
        <v>0.030808391333218565</v>
      </c>
      <c r="G20" s="798"/>
      <c r="H20" s="793">
        <f t="shared" si="2"/>
        <v>0.03163779350425837</v>
      </c>
      <c r="I20" s="645"/>
      <c r="J20" s="650">
        <f t="shared" si="6"/>
        <v>0.03270001819528914</v>
      </c>
      <c r="K20" s="609"/>
      <c r="L20" s="643"/>
      <c r="M20" s="644"/>
      <c r="N20" s="644"/>
      <c r="O20" s="642">
        <f t="shared" si="7"/>
        <v>0.027043551001726267</v>
      </c>
      <c r="P20" s="645"/>
      <c r="Q20" s="646"/>
      <c r="R20" s="647"/>
      <c r="S20" s="646"/>
      <c r="T20" s="647"/>
      <c r="U20" s="609"/>
      <c r="V20" s="653"/>
      <c r="W20" s="650">
        <f t="shared" si="3"/>
        <v>0.023939074387616773</v>
      </c>
      <c r="Y20" s="649"/>
      <c r="Z20" s="646"/>
      <c r="AA20" s="647"/>
      <c r="AB20" s="646"/>
      <c r="AC20" s="647"/>
      <c r="AD20" s="609"/>
      <c r="AE20" s="653"/>
      <c r="AF20" s="609">
        <f t="shared" si="8"/>
        <v>0.016714406847388816</v>
      </c>
      <c r="AG20" s="645"/>
      <c r="AH20" s="646"/>
      <c r="AI20" s="647"/>
      <c r="AJ20" s="646"/>
      <c r="AK20" s="647"/>
      <c r="AL20" s="609"/>
      <c r="AM20" s="653"/>
      <c r="AN20" s="609">
        <f t="shared" si="9"/>
        <v>0.001634817317728516</v>
      </c>
      <c r="AO20" s="645"/>
      <c r="AP20" s="646"/>
      <c r="AQ20" s="647"/>
      <c r="AR20" s="646"/>
      <c r="AS20" s="647"/>
      <c r="AT20" s="609"/>
      <c r="AU20" s="648"/>
      <c r="AV20" s="609">
        <f t="shared" si="10"/>
        <v>0.025775662625882913</v>
      </c>
      <c r="AW20" s="645"/>
      <c r="AX20" s="646"/>
      <c r="AY20" s="647"/>
      <c r="AZ20" s="646"/>
      <c r="BA20" s="647"/>
      <c r="BB20" s="609"/>
      <c r="BC20" s="648"/>
      <c r="BD20" s="650">
        <f t="shared" si="11"/>
        <v>0.013026812556066669</v>
      </c>
      <c r="BF20" s="651">
        <f t="shared" si="4"/>
        <v>0.02032442345196436</v>
      </c>
      <c r="BG20" s="652">
        <f t="shared" si="5"/>
        <v>72727.00638470479</v>
      </c>
    </row>
    <row r="21" spans="1:59" s="600" customFormat="1" ht="11.25" customHeight="1">
      <c r="A21" s="639">
        <v>25000</v>
      </c>
      <c r="B21" s="640" t="s">
        <v>359</v>
      </c>
      <c r="C21" s="641"/>
      <c r="D21" s="793">
        <f t="shared" si="0"/>
        <v>0.03284469910894977</v>
      </c>
      <c r="E21" s="796"/>
      <c r="F21" s="793">
        <f t="shared" si="1"/>
        <v>0.00198470278645385</v>
      </c>
      <c r="G21" s="798"/>
      <c r="H21" s="793">
        <f t="shared" si="2"/>
        <v>0.017935471976943985</v>
      </c>
      <c r="I21" s="645"/>
      <c r="J21" s="650">
        <f t="shared" si="6"/>
        <v>0.01547847793242898</v>
      </c>
      <c r="K21" s="609"/>
      <c r="L21" s="643"/>
      <c r="M21" s="644"/>
      <c r="N21" s="644"/>
      <c r="O21" s="642">
        <f t="shared" si="7"/>
        <v>0.027759134694585408</v>
      </c>
      <c r="P21" s="645"/>
      <c r="Q21" s="646"/>
      <c r="R21" s="647"/>
      <c r="S21" s="646"/>
      <c r="T21" s="647"/>
      <c r="U21" s="609"/>
      <c r="V21" s="653"/>
      <c r="W21" s="650">
        <f t="shared" si="3"/>
        <v>0.027689745488668222</v>
      </c>
      <c r="Y21" s="649"/>
      <c r="Z21" s="646"/>
      <c r="AA21" s="647"/>
      <c r="AB21" s="646"/>
      <c r="AC21" s="647"/>
      <c r="AD21" s="609"/>
      <c r="AE21" s="653"/>
      <c r="AF21" s="609">
        <f t="shared" si="8"/>
        <v>0.007675764351643829</v>
      </c>
      <c r="AG21" s="645"/>
      <c r="AH21" s="646"/>
      <c r="AI21" s="647"/>
      <c r="AJ21" s="646"/>
      <c r="AK21" s="647"/>
      <c r="AL21" s="609"/>
      <c r="AM21" s="653"/>
      <c r="AN21" s="609">
        <f t="shared" si="9"/>
        <v>0.0005503231976460912</v>
      </c>
      <c r="AO21" s="645"/>
      <c r="AP21" s="646"/>
      <c r="AQ21" s="647"/>
      <c r="AR21" s="646"/>
      <c r="AS21" s="647"/>
      <c r="AT21" s="609"/>
      <c r="AU21" s="648"/>
      <c r="AV21" s="609">
        <f t="shared" si="10"/>
        <v>0.019278754284191908</v>
      </c>
      <c r="AW21" s="645"/>
      <c r="AX21" s="646"/>
      <c r="AY21" s="647"/>
      <c r="AZ21" s="646"/>
      <c r="BA21" s="647"/>
      <c r="BB21" s="609"/>
      <c r="BC21" s="648"/>
      <c r="BD21" s="650">
        <f t="shared" si="11"/>
        <v>0.01764777627355887</v>
      </c>
      <c r="BF21" s="651">
        <f t="shared" si="4"/>
        <v>0.024573629328724957</v>
      </c>
      <c r="BG21" s="652">
        <f t="shared" si="5"/>
        <v>87931.96526875248</v>
      </c>
    </row>
    <row r="22" spans="1:59" s="600" customFormat="1" ht="11.25" customHeight="1">
      <c r="A22" s="639">
        <v>26000</v>
      </c>
      <c r="B22" s="640" t="s">
        <v>360</v>
      </c>
      <c r="C22" s="641"/>
      <c r="D22" s="793">
        <f t="shared" si="0"/>
        <v>0.07785448814898918</v>
      </c>
      <c r="E22" s="796"/>
      <c r="F22" s="793">
        <f t="shared" si="1"/>
        <v>0.07450628366247755</v>
      </c>
      <c r="G22" s="798"/>
      <c r="H22" s="793">
        <f t="shared" si="2"/>
        <v>0.08649881571311026</v>
      </c>
      <c r="I22" s="645"/>
      <c r="J22" s="650">
        <f t="shared" si="6"/>
        <v>0.07249303954192576</v>
      </c>
      <c r="K22" s="609"/>
      <c r="L22" s="643"/>
      <c r="M22" s="644"/>
      <c r="N22" s="644"/>
      <c r="O22" s="642">
        <f t="shared" si="7"/>
        <v>0.06405714934654738</v>
      </c>
      <c r="P22" s="645"/>
      <c r="Q22" s="646"/>
      <c r="R22" s="647"/>
      <c r="S22" s="646"/>
      <c r="T22" s="647"/>
      <c r="U22" s="609"/>
      <c r="V22" s="653"/>
      <c r="W22" s="650">
        <f t="shared" si="3"/>
        <v>0.06576540433124578</v>
      </c>
      <c r="Y22" s="649"/>
      <c r="Z22" s="646"/>
      <c r="AA22" s="647"/>
      <c r="AB22" s="646"/>
      <c r="AC22" s="647"/>
      <c r="AD22" s="609"/>
      <c r="AE22" s="653"/>
      <c r="AF22" s="609">
        <f t="shared" si="8"/>
        <v>0.10072814649679249</v>
      </c>
      <c r="AG22" s="645"/>
      <c r="AH22" s="646"/>
      <c r="AI22" s="647"/>
      <c r="AJ22" s="646"/>
      <c r="AK22" s="647"/>
      <c r="AL22" s="609"/>
      <c r="AM22" s="653"/>
      <c r="AN22" s="609">
        <f t="shared" si="9"/>
        <v>0.004446409782847666</v>
      </c>
      <c r="AO22" s="645"/>
      <c r="AP22" s="646"/>
      <c r="AQ22" s="647"/>
      <c r="AR22" s="646"/>
      <c r="AS22" s="647"/>
      <c r="AT22" s="609"/>
      <c r="AU22" s="648"/>
      <c r="AV22" s="609">
        <f t="shared" si="10"/>
        <v>0.07665158864550906</v>
      </c>
      <c r="AW22" s="645"/>
      <c r="AX22" s="646"/>
      <c r="AY22" s="647"/>
      <c r="AZ22" s="646"/>
      <c r="BA22" s="647"/>
      <c r="BB22" s="609"/>
      <c r="BC22" s="648"/>
      <c r="BD22" s="650">
        <f t="shared" si="11"/>
        <v>0.07006635198353478</v>
      </c>
      <c r="BF22" s="651">
        <f t="shared" si="4"/>
        <v>0.07118066027391541</v>
      </c>
      <c r="BG22" s="652">
        <f t="shared" si="5"/>
        <v>254706.18374211315</v>
      </c>
    </row>
    <row r="23" spans="1:59" s="600" customFormat="1" ht="11.25" customHeight="1">
      <c r="A23" s="639">
        <v>27000</v>
      </c>
      <c r="B23" s="640" t="s">
        <v>361</v>
      </c>
      <c r="C23" s="641"/>
      <c r="D23" s="793">
        <f t="shared" si="0"/>
        <v>0.030180631297909155</v>
      </c>
      <c r="E23" s="796"/>
      <c r="F23" s="793">
        <f t="shared" si="1"/>
        <v>0</v>
      </c>
      <c r="G23" s="798"/>
      <c r="H23" s="793">
        <f t="shared" si="2"/>
        <v>0.044511305689735346</v>
      </c>
      <c r="I23" s="645"/>
      <c r="J23" s="650">
        <f t="shared" si="6"/>
        <v>0.046798228885546966</v>
      </c>
      <c r="K23" s="609"/>
      <c r="L23" s="643"/>
      <c r="M23" s="644"/>
      <c r="N23" s="644"/>
      <c r="O23" s="642">
        <f t="shared" si="7"/>
        <v>0.05516960724774715</v>
      </c>
      <c r="P23" s="645"/>
      <c r="Q23" s="646"/>
      <c r="R23" s="647"/>
      <c r="S23" s="646"/>
      <c r="T23" s="647"/>
      <c r="U23" s="609"/>
      <c r="V23" s="653"/>
      <c r="W23" s="650">
        <f t="shared" si="3"/>
        <v>0.055978028809415804</v>
      </c>
      <c r="Y23" s="649"/>
      <c r="Z23" s="646"/>
      <c r="AA23" s="647"/>
      <c r="AB23" s="646"/>
      <c r="AC23" s="647"/>
      <c r="AD23" s="609"/>
      <c r="AE23" s="653"/>
      <c r="AF23" s="609">
        <f t="shared" si="8"/>
        <v>0.04147767174624667</v>
      </c>
      <c r="AG23" s="645"/>
      <c r="AH23" s="646"/>
      <c r="AI23" s="647"/>
      <c r="AJ23" s="646"/>
      <c r="AK23" s="647"/>
      <c r="AL23" s="609"/>
      <c r="AM23" s="653"/>
      <c r="AN23" s="609">
        <f t="shared" si="9"/>
        <v>0.010806706647326409</v>
      </c>
      <c r="AO23" s="645"/>
      <c r="AP23" s="646"/>
      <c r="AQ23" s="647"/>
      <c r="AR23" s="646"/>
      <c r="AS23" s="647"/>
      <c r="AT23" s="609"/>
      <c r="AU23" s="648"/>
      <c r="AV23" s="609">
        <f t="shared" si="10"/>
        <v>0.030426202035207704</v>
      </c>
      <c r="AW23" s="645"/>
      <c r="AX23" s="646"/>
      <c r="AY23" s="647"/>
      <c r="AZ23" s="646"/>
      <c r="BA23" s="647"/>
      <c r="BB23" s="609"/>
      <c r="BC23" s="648"/>
      <c r="BD23" s="650">
        <f t="shared" si="11"/>
        <v>0.04066558096157696</v>
      </c>
      <c r="BF23" s="651">
        <f t="shared" si="4"/>
        <v>0.04037210735540587</v>
      </c>
      <c r="BG23" s="652">
        <f t="shared" si="5"/>
        <v>144463.75398249296</v>
      </c>
    </row>
    <row r="24" spans="1:59" s="600" customFormat="1" ht="11.25" customHeight="1">
      <c r="A24" s="639">
        <v>28000</v>
      </c>
      <c r="B24" s="640" t="s">
        <v>362</v>
      </c>
      <c r="C24" s="641"/>
      <c r="D24" s="793">
        <f t="shared" si="0"/>
        <v>0.01299910190249955</v>
      </c>
      <c r="E24" s="796"/>
      <c r="F24" s="793">
        <f t="shared" si="1"/>
        <v>0.0360542042743661</v>
      </c>
      <c r="G24" s="798"/>
      <c r="H24" s="793">
        <f t="shared" si="2"/>
        <v>0.007452857201463001</v>
      </c>
      <c r="I24" s="645"/>
      <c r="J24" s="650">
        <f t="shared" si="6"/>
        <v>0.011190584833416003</v>
      </c>
      <c r="K24" s="609"/>
      <c r="L24" s="643"/>
      <c r="M24" s="644"/>
      <c r="N24" s="644"/>
      <c r="O24" s="642">
        <f t="shared" si="7"/>
        <v>0.023384298239205133</v>
      </c>
      <c r="P24" s="645"/>
      <c r="Q24" s="646"/>
      <c r="R24" s="647"/>
      <c r="S24" s="646"/>
      <c r="T24" s="647"/>
      <c r="U24" s="609"/>
      <c r="V24" s="653"/>
      <c r="W24" s="650">
        <f t="shared" si="3"/>
        <v>0.04224714525002122</v>
      </c>
      <c r="Y24" s="649"/>
      <c r="Z24" s="646"/>
      <c r="AA24" s="647"/>
      <c r="AB24" s="646"/>
      <c r="AC24" s="647"/>
      <c r="AD24" s="609"/>
      <c r="AE24" s="653"/>
      <c r="AF24" s="609">
        <f t="shared" si="8"/>
        <v>0.025952419250049062</v>
      </c>
      <c r="AG24" s="645"/>
      <c r="AH24" s="646"/>
      <c r="AI24" s="647"/>
      <c r="AJ24" s="646"/>
      <c r="AK24" s="647"/>
      <c r="AL24" s="609"/>
      <c r="AM24" s="653"/>
      <c r="AN24" s="609">
        <f t="shared" si="9"/>
        <v>0.011124168939586291</v>
      </c>
      <c r="AO24" s="645"/>
      <c r="AP24" s="646"/>
      <c r="AQ24" s="647"/>
      <c r="AR24" s="646"/>
      <c r="AS24" s="647"/>
      <c r="AT24" s="609"/>
      <c r="AU24" s="648"/>
      <c r="AV24" s="609">
        <f t="shared" si="10"/>
        <v>0.027289285859439072</v>
      </c>
      <c r="AW24" s="645"/>
      <c r="AX24" s="646"/>
      <c r="AY24" s="647"/>
      <c r="AZ24" s="646"/>
      <c r="BA24" s="647"/>
      <c r="BB24" s="609"/>
      <c r="BC24" s="648"/>
      <c r="BD24" s="650">
        <f t="shared" si="11"/>
        <v>0.012501282713136224</v>
      </c>
      <c r="BF24" s="651">
        <f t="shared" si="4"/>
        <v>0.024415692483250564</v>
      </c>
      <c r="BG24" s="652">
        <f t="shared" si="5"/>
        <v>87366.8189069704</v>
      </c>
    </row>
    <row r="25" spans="1:59" s="600" customFormat="1" ht="11.25" customHeight="1">
      <c r="A25" s="639">
        <v>31000</v>
      </c>
      <c r="B25" s="640" t="s">
        <v>139</v>
      </c>
      <c r="C25" s="641"/>
      <c r="D25" s="793">
        <f t="shared" si="0"/>
        <v>0.01386489122613775</v>
      </c>
      <c r="E25" s="796"/>
      <c r="F25" s="793">
        <f t="shared" si="1"/>
        <v>0</v>
      </c>
      <c r="G25" s="798"/>
      <c r="H25" s="793">
        <f t="shared" si="2"/>
        <v>0.015164099882376473</v>
      </c>
      <c r="I25" s="645"/>
      <c r="J25" s="650">
        <f t="shared" si="6"/>
        <v>0.04307442620820989</v>
      </c>
      <c r="K25" s="609"/>
      <c r="L25" s="643"/>
      <c r="M25" s="644"/>
      <c r="N25" s="644"/>
      <c r="O25" s="642">
        <f t="shared" si="7"/>
        <v>0.03803206116665252</v>
      </c>
      <c r="P25" s="645"/>
      <c r="Q25" s="646"/>
      <c r="R25" s="647"/>
      <c r="S25" s="646"/>
      <c r="T25" s="647"/>
      <c r="U25" s="609"/>
      <c r="V25" s="653"/>
      <c r="W25" s="650">
        <f t="shared" si="3"/>
        <v>0.034994112474924906</v>
      </c>
      <c r="Y25" s="649"/>
      <c r="Z25" s="646"/>
      <c r="AA25" s="647"/>
      <c r="AB25" s="646"/>
      <c r="AC25" s="647"/>
      <c r="AD25" s="609"/>
      <c r="AE25" s="653"/>
      <c r="AF25" s="609">
        <f t="shared" si="8"/>
        <v>0.11285120756517283</v>
      </c>
      <c r="AG25" s="645"/>
      <c r="AH25" s="646"/>
      <c r="AI25" s="647"/>
      <c r="AJ25" s="646"/>
      <c r="AK25" s="647"/>
      <c r="AL25" s="609"/>
      <c r="AM25" s="653"/>
      <c r="AN25" s="609">
        <f t="shared" si="9"/>
        <v>0.022441609051558557</v>
      </c>
      <c r="AO25" s="645"/>
      <c r="AP25" s="646"/>
      <c r="AQ25" s="647"/>
      <c r="AR25" s="646"/>
      <c r="AS25" s="647"/>
      <c r="AT25" s="609"/>
      <c r="AU25" s="648"/>
      <c r="AV25" s="609">
        <f t="shared" si="10"/>
        <v>0.061342241145644946</v>
      </c>
      <c r="AW25" s="645"/>
      <c r="AX25" s="646"/>
      <c r="AY25" s="647"/>
      <c r="AZ25" s="646"/>
      <c r="BA25" s="647"/>
      <c r="BB25" s="609"/>
      <c r="BC25" s="648"/>
      <c r="BD25" s="650">
        <f t="shared" si="11"/>
        <v>0.05967291511637971</v>
      </c>
      <c r="BF25" s="651">
        <f t="shared" si="4"/>
        <v>0.03427195306292701</v>
      </c>
      <c r="BG25" s="652">
        <f t="shared" si="5"/>
        <v>122635.5352767901</v>
      </c>
    </row>
    <row r="26" spans="1:59" s="600" customFormat="1" ht="11.25" customHeight="1">
      <c r="A26" s="639">
        <v>41000</v>
      </c>
      <c r="B26" s="640" t="s">
        <v>363</v>
      </c>
      <c r="C26" s="641"/>
      <c r="D26" s="793">
        <f t="shared" si="0"/>
        <v>0.022652747630563495</v>
      </c>
      <c r="E26" s="796"/>
      <c r="F26" s="793">
        <f t="shared" si="1"/>
        <v>0</v>
      </c>
      <c r="G26" s="798"/>
      <c r="H26" s="793">
        <f t="shared" si="2"/>
        <v>0.026250151568964063</v>
      </c>
      <c r="I26" s="645"/>
      <c r="J26" s="650">
        <f t="shared" si="6"/>
        <v>0.026075068451011253</v>
      </c>
      <c r="K26" s="609"/>
      <c r="L26" s="643"/>
      <c r="M26" s="644"/>
      <c r="N26" s="644"/>
      <c r="O26" s="642">
        <f t="shared" si="7"/>
        <v>0.03094652417425836</v>
      </c>
      <c r="P26" s="645"/>
      <c r="Q26" s="646"/>
      <c r="R26" s="647"/>
      <c r="S26" s="646"/>
      <c r="T26" s="647"/>
      <c r="U26" s="609"/>
      <c r="V26" s="653"/>
      <c r="W26" s="650">
        <f t="shared" si="3"/>
        <v>0.06099791230100356</v>
      </c>
      <c r="Y26" s="649"/>
      <c r="Z26" s="646"/>
      <c r="AA26" s="647"/>
      <c r="AB26" s="646"/>
      <c r="AC26" s="647"/>
      <c r="AD26" s="609"/>
      <c r="AE26" s="653"/>
      <c r="AF26" s="609">
        <f t="shared" si="8"/>
        <v>0.036764057695110805</v>
      </c>
      <c r="AG26" s="645"/>
      <c r="AH26" s="646"/>
      <c r="AI26" s="647"/>
      <c r="AJ26" s="646"/>
      <c r="AK26" s="647"/>
      <c r="AL26" s="609"/>
      <c r="AM26" s="653"/>
      <c r="AN26" s="609">
        <f t="shared" si="9"/>
        <v>0.0090593670419843</v>
      </c>
      <c r="AO26" s="645"/>
      <c r="AP26" s="646"/>
      <c r="AQ26" s="647"/>
      <c r="AR26" s="646"/>
      <c r="AS26" s="647"/>
      <c r="AT26" s="609"/>
      <c r="AU26" s="648"/>
      <c r="AV26" s="609">
        <f t="shared" si="10"/>
        <v>0.05524452042320649</v>
      </c>
      <c r="AW26" s="645"/>
      <c r="AX26" s="646"/>
      <c r="AY26" s="647"/>
      <c r="AZ26" s="646"/>
      <c r="BA26" s="647"/>
      <c r="BB26" s="609"/>
      <c r="BC26" s="648"/>
      <c r="BD26" s="650">
        <f t="shared" si="11"/>
        <v>0.058712429914233435</v>
      </c>
      <c r="BF26" s="651">
        <f t="shared" si="4"/>
        <v>0.04234464556692839</v>
      </c>
      <c r="BG26" s="652">
        <f t="shared" si="5"/>
        <v>151522.09930001327</v>
      </c>
    </row>
    <row r="27" spans="1:59" s="600" customFormat="1" ht="11.25" customHeight="1">
      <c r="A27" s="639">
        <v>43000</v>
      </c>
      <c r="B27" s="640" t="s">
        <v>141</v>
      </c>
      <c r="C27" s="641"/>
      <c r="D27" s="793">
        <f t="shared" si="0"/>
        <v>0.02139221118085288</v>
      </c>
      <c r="E27" s="796"/>
      <c r="F27" s="793">
        <f t="shared" si="1"/>
        <v>0</v>
      </c>
      <c r="G27" s="798"/>
      <c r="H27" s="793">
        <f t="shared" si="2"/>
        <v>0.029729550273901457</v>
      </c>
      <c r="I27" s="645"/>
      <c r="J27" s="650">
        <f t="shared" si="6"/>
        <v>0.02914741326223353</v>
      </c>
      <c r="K27" s="609"/>
      <c r="L27" s="643"/>
      <c r="M27" s="644"/>
      <c r="N27" s="644"/>
      <c r="O27" s="642">
        <f t="shared" si="7"/>
        <v>0.02999481071566022</v>
      </c>
      <c r="P27" s="645"/>
      <c r="Q27" s="646"/>
      <c r="R27" s="647"/>
      <c r="S27" s="646"/>
      <c r="T27" s="647"/>
      <c r="U27" s="609"/>
      <c r="V27" s="653"/>
      <c r="W27" s="650">
        <f t="shared" si="3"/>
        <v>0.04112968277524581</v>
      </c>
      <c r="Y27" s="649"/>
      <c r="Z27" s="646"/>
      <c r="AA27" s="647"/>
      <c r="AB27" s="646"/>
      <c r="AC27" s="647"/>
      <c r="AD27" s="609"/>
      <c r="AE27" s="653"/>
      <c r="AF27" s="609">
        <f t="shared" si="8"/>
        <v>0.02532123470516434</v>
      </c>
      <c r="AG27" s="645"/>
      <c r="AH27" s="646"/>
      <c r="AI27" s="647"/>
      <c r="AJ27" s="646"/>
      <c r="AK27" s="647"/>
      <c r="AL27" s="609"/>
      <c r="AM27" s="653"/>
      <c r="AN27" s="609">
        <f t="shared" si="9"/>
        <v>0.008332070430745074</v>
      </c>
      <c r="AO27" s="645"/>
      <c r="AP27" s="646"/>
      <c r="AQ27" s="647"/>
      <c r="AR27" s="646"/>
      <c r="AS27" s="647"/>
      <c r="AT27" s="609"/>
      <c r="AU27" s="648"/>
      <c r="AV27" s="609">
        <f t="shared" si="10"/>
        <v>0.03008964747679107</v>
      </c>
      <c r="AW27" s="645"/>
      <c r="AX27" s="646"/>
      <c r="AY27" s="647"/>
      <c r="AZ27" s="646"/>
      <c r="BA27" s="647"/>
      <c r="BB27" s="609"/>
      <c r="BC27" s="648"/>
      <c r="BD27" s="650">
        <f t="shared" si="11"/>
        <v>0.02750680310773825</v>
      </c>
      <c r="BF27" s="651">
        <f t="shared" si="4"/>
        <v>0.02941803222772514</v>
      </c>
      <c r="BG27" s="652">
        <f t="shared" si="5"/>
        <v>105266.72122866224</v>
      </c>
    </row>
    <row r="28" spans="1:59" s="600" customFormat="1" ht="11.25" customHeight="1">
      <c r="A28" s="639">
        <v>51000</v>
      </c>
      <c r="B28" s="640" t="s">
        <v>364</v>
      </c>
      <c r="C28" s="641"/>
      <c r="D28" s="793">
        <f t="shared" si="0"/>
        <v>0.0029721837877655297</v>
      </c>
      <c r="E28" s="796"/>
      <c r="F28" s="793">
        <f t="shared" si="1"/>
        <v>0.2169154718280416</v>
      </c>
      <c r="G28" s="799"/>
      <c r="H28" s="793">
        <f t="shared" si="2"/>
        <v>0.005416246183640479</v>
      </c>
      <c r="I28" s="645"/>
      <c r="J28" s="650">
        <f t="shared" si="6"/>
        <v>0.0027270880110992226</v>
      </c>
      <c r="K28" s="609"/>
      <c r="L28" s="643"/>
      <c r="M28" s="644"/>
      <c r="N28" s="644"/>
      <c r="O28" s="642">
        <f t="shared" si="7"/>
        <v>0.024197785793627902</v>
      </c>
      <c r="P28" s="645"/>
      <c r="Q28" s="646"/>
      <c r="R28" s="647"/>
      <c r="S28" s="646"/>
      <c r="T28" s="647"/>
      <c r="U28" s="609"/>
      <c r="V28" s="653"/>
      <c r="W28" s="650">
        <f t="shared" si="3"/>
        <v>0.01614766760135962</v>
      </c>
      <c r="Y28" s="649"/>
      <c r="Z28" s="646"/>
      <c r="AA28" s="647"/>
      <c r="AB28" s="646"/>
      <c r="AC28" s="647"/>
      <c r="AD28" s="609"/>
      <c r="AE28" s="653"/>
      <c r="AF28" s="609">
        <f t="shared" si="8"/>
        <v>0.006601756879270265</v>
      </c>
      <c r="AG28" s="645"/>
      <c r="AH28" s="646"/>
      <c r="AI28" s="647"/>
      <c r="AJ28" s="646"/>
      <c r="AK28" s="647"/>
      <c r="AL28" s="609"/>
      <c r="AM28" s="653"/>
      <c r="AN28" s="609">
        <f t="shared" si="9"/>
        <v>0.010053442437876208</v>
      </c>
      <c r="AO28" s="645"/>
      <c r="AP28" s="646"/>
      <c r="AQ28" s="647"/>
      <c r="AR28" s="646"/>
      <c r="AS28" s="647"/>
      <c r="AT28" s="609"/>
      <c r="AU28" s="648"/>
      <c r="AV28" s="609">
        <f t="shared" si="10"/>
        <v>0.0114396520423878</v>
      </c>
      <c r="AW28" s="645"/>
      <c r="AX28" s="646"/>
      <c r="AY28" s="647"/>
      <c r="AZ28" s="646"/>
      <c r="BA28" s="647"/>
      <c r="BB28" s="609"/>
      <c r="BC28" s="648"/>
      <c r="BD28" s="650">
        <f t="shared" si="11"/>
        <v>0.020487099517858442</v>
      </c>
      <c r="BF28" s="651">
        <f t="shared" si="4"/>
        <v>0.01514965811518425</v>
      </c>
      <c r="BG28" s="652">
        <f t="shared" si="5"/>
        <v>54210.11253151249</v>
      </c>
    </row>
    <row r="29" spans="1:59" s="600" customFormat="1" ht="11.25" customHeight="1">
      <c r="A29" s="639">
        <v>52000</v>
      </c>
      <c r="B29" s="640" t="s">
        <v>365</v>
      </c>
      <c r="C29" s="641"/>
      <c r="D29" s="793">
        <f t="shared" si="0"/>
        <v>0.0003099617461262413</v>
      </c>
      <c r="E29" s="796"/>
      <c r="F29" s="793">
        <f t="shared" si="1"/>
        <v>0.09485256142249329</v>
      </c>
      <c r="G29" s="799"/>
      <c r="H29" s="793">
        <f t="shared" si="2"/>
        <v>0.0008206571400901575</v>
      </c>
      <c r="I29" s="645"/>
      <c r="J29" s="650">
        <f t="shared" si="6"/>
        <v>0.0005807411959672162</v>
      </c>
      <c r="K29" s="609"/>
      <c r="L29" s="643"/>
      <c r="M29" s="644"/>
      <c r="N29" s="644"/>
      <c r="O29" s="642">
        <f t="shared" si="7"/>
        <v>0.00433208003312951</v>
      </c>
      <c r="P29" s="645"/>
      <c r="Q29" s="646"/>
      <c r="R29" s="647"/>
      <c r="S29" s="646"/>
      <c r="T29" s="647"/>
      <c r="U29" s="609"/>
      <c r="V29" s="653"/>
      <c r="W29" s="650">
        <f t="shared" si="3"/>
        <v>0.004478688295113854</v>
      </c>
      <c r="Y29" s="649"/>
      <c r="Z29" s="646"/>
      <c r="AA29" s="647"/>
      <c r="AB29" s="646"/>
      <c r="AC29" s="647"/>
      <c r="AD29" s="609"/>
      <c r="AE29" s="653"/>
      <c r="AF29" s="609">
        <f t="shared" si="8"/>
        <v>0.0009426080278775178</v>
      </c>
      <c r="AG29" s="645"/>
      <c r="AH29" s="646"/>
      <c r="AI29" s="647"/>
      <c r="AJ29" s="646"/>
      <c r="AK29" s="647"/>
      <c r="AL29" s="609"/>
      <c r="AM29" s="653"/>
      <c r="AN29" s="609">
        <f t="shared" si="9"/>
        <v>0</v>
      </c>
      <c r="AO29" s="645"/>
      <c r="AP29" s="646"/>
      <c r="AQ29" s="647"/>
      <c r="AR29" s="646"/>
      <c r="AS29" s="647"/>
      <c r="AT29" s="609"/>
      <c r="AU29" s="648"/>
      <c r="AV29" s="609">
        <f t="shared" si="10"/>
        <v>0.003144971182771157</v>
      </c>
      <c r="AW29" s="645"/>
      <c r="AX29" s="646"/>
      <c r="AY29" s="647"/>
      <c r="AZ29" s="646"/>
      <c r="BA29" s="647"/>
      <c r="BB29" s="609"/>
      <c r="BC29" s="648"/>
      <c r="BD29" s="650">
        <f t="shared" si="11"/>
        <v>0.003169856404929032</v>
      </c>
      <c r="BF29" s="651">
        <f t="shared" si="4"/>
        <v>0.004278700278013595</v>
      </c>
      <c r="BG29" s="652">
        <f t="shared" si="5"/>
        <v>15310.498877017713</v>
      </c>
    </row>
    <row r="30" spans="1:59" s="600" customFormat="1" ht="11.25" customHeight="1">
      <c r="A30" s="639">
        <v>53000</v>
      </c>
      <c r="B30" s="640" t="s">
        <v>293</v>
      </c>
      <c r="C30" s="641"/>
      <c r="D30" s="793">
        <f t="shared" si="0"/>
        <v>0.0006383708005673684</v>
      </c>
      <c r="E30" s="796"/>
      <c r="F30" s="793">
        <f t="shared" si="1"/>
        <v>0.11750079929170458</v>
      </c>
      <c r="G30" s="799"/>
      <c r="H30" s="793">
        <f t="shared" si="2"/>
        <v>0.000386024683918647</v>
      </c>
      <c r="I30" s="645"/>
      <c r="J30" s="650">
        <f t="shared" si="6"/>
        <v>0.002441397868114371</v>
      </c>
      <c r="K30" s="609"/>
      <c r="L30" s="643"/>
      <c r="M30" s="644"/>
      <c r="N30" s="644"/>
      <c r="O30" s="642">
        <f t="shared" si="7"/>
        <v>0.0032879294343202345</v>
      </c>
      <c r="P30" s="645"/>
      <c r="Q30" s="646"/>
      <c r="R30" s="647"/>
      <c r="S30" s="646"/>
      <c r="T30" s="647"/>
      <c r="U30" s="609"/>
      <c r="V30" s="653"/>
      <c r="W30" s="650">
        <f t="shared" si="3"/>
        <v>0.007641482387848324</v>
      </c>
      <c r="Y30" s="649"/>
      <c r="Z30" s="646"/>
      <c r="AA30" s="647"/>
      <c r="AB30" s="646"/>
      <c r="AC30" s="647"/>
      <c r="AD30" s="609"/>
      <c r="AE30" s="653"/>
      <c r="AF30" s="609">
        <f t="shared" si="8"/>
        <v>0.0016863144125580875</v>
      </c>
      <c r="AG30" s="645"/>
      <c r="AH30" s="646"/>
      <c r="AI30" s="647"/>
      <c r="AJ30" s="646"/>
      <c r="AK30" s="647"/>
      <c r="AL30" s="609"/>
      <c r="AM30" s="653"/>
      <c r="AN30" s="609">
        <f t="shared" si="9"/>
        <v>0.004386885945402439</v>
      </c>
      <c r="AO30" s="645"/>
      <c r="AP30" s="646"/>
      <c r="AQ30" s="647"/>
      <c r="AR30" s="646"/>
      <c r="AS30" s="647"/>
      <c r="AT30" s="609"/>
      <c r="AU30" s="648"/>
      <c r="AV30" s="609">
        <f t="shared" si="10"/>
        <v>0.007547537920498189</v>
      </c>
      <c r="AW30" s="645"/>
      <c r="AX30" s="646"/>
      <c r="AY30" s="647"/>
      <c r="AZ30" s="646"/>
      <c r="BA30" s="647"/>
      <c r="BB30" s="609"/>
      <c r="BC30" s="648"/>
      <c r="BD30" s="650">
        <f t="shared" si="11"/>
        <v>0.007273386966667565</v>
      </c>
      <c r="BF30" s="651">
        <f t="shared" si="4"/>
        <v>0.006934354245237329</v>
      </c>
      <c r="BG30" s="652">
        <f t="shared" si="5"/>
        <v>24813.241401858206</v>
      </c>
    </row>
    <row r="31" spans="1:59" s="600" customFormat="1" ht="11.25" customHeight="1">
      <c r="A31" s="639">
        <v>54000</v>
      </c>
      <c r="B31" s="640" t="s">
        <v>145</v>
      </c>
      <c r="C31" s="641"/>
      <c r="D31" s="793">
        <f t="shared" si="0"/>
        <v>0.0009414993341209462</v>
      </c>
      <c r="E31" s="796"/>
      <c r="F31" s="793">
        <f t="shared" si="1"/>
        <v>0.18908782371314037</v>
      </c>
      <c r="G31" s="799"/>
      <c r="H31" s="793">
        <f t="shared" si="2"/>
        <v>0.0005585421611946617</v>
      </c>
      <c r="I31" s="645"/>
      <c r="J31" s="650">
        <f t="shared" si="6"/>
        <v>0.0017713096325255625</v>
      </c>
      <c r="K31" s="609"/>
      <c r="L31" s="643"/>
      <c r="M31" s="644"/>
      <c r="N31" s="644"/>
      <c r="O31" s="642">
        <f t="shared" si="7"/>
        <v>0.011328047696490703</v>
      </c>
      <c r="P31" s="645"/>
      <c r="Q31" s="646"/>
      <c r="R31" s="647"/>
      <c r="S31" s="646"/>
      <c r="T31" s="647"/>
      <c r="U31" s="609"/>
      <c r="V31" s="653"/>
      <c r="W31" s="650">
        <f t="shared" si="3"/>
        <v>0.008686557011830505</v>
      </c>
      <c r="Y31" s="649"/>
      <c r="Z31" s="646"/>
      <c r="AA31" s="647"/>
      <c r="AB31" s="646"/>
      <c r="AC31" s="647"/>
      <c r="AD31" s="609"/>
      <c r="AE31" s="653"/>
      <c r="AF31" s="609">
        <f t="shared" si="8"/>
        <v>0.0039218855910218625</v>
      </c>
      <c r="AG31" s="645"/>
      <c r="AH31" s="646"/>
      <c r="AI31" s="647"/>
      <c r="AJ31" s="646"/>
      <c r="AK31" s="647"/>
      <c r="AL31" s="609"/>
      <c r="AM31" s="653"/>
      <c r="AN31" s="609">
        <f t="shared" si="9"/>
        <v>0.0006078632723535455</v>
      </c>
      <c r="AO31" s="645"/>
      <c r="AP31" s="646"/>
      <c r="AQ31" s="647"/>
      <c r="AR31" s="646"/>
      <c r="AS31" s="647"/>
      <c r="AT31" s="609"/>
      <c r="AU31" s="648"/>
      <c r="AV31" s="609">
        <f t="shared" si="10"/>
        <v>0.007240380911362189</v>
      </c>
      <c r="AW31" s="645"/>
      <c r="AX31" s="646"/>
      <c r="AY31" s="647"/>
      <c r="AZ31" s="646"/>
      <c r="BA31" s="647"/>
      <c r="BB31" s="609"/>
      <c r="BC31" s="648"/>
      <c r="BD31" s="650">
        <f t="shared" si="11"/>
        <v>0.002845134409996351</v>
      </c>
      <c r="BF31" s="651">
        <f t="shared" si="4"/>
        <v>0.00834819717124944</v>
      </c>
      <c r="BG31" s="652">
        <f t="shared" si="5"/>
        <v>29872.4040270649</v>
      </c>
    </row>
    <row r="32" spans="1:59" s="600" customFormat="1" ht="11.25" customHeight="1">
      <c r="A32" s="639">
        <v>55000</v>
      </c>
      <c r="B32" s="640" t="s">
        <v>280</v>
      </c>
      <c r="C32" s="654"/>
      <c r="D32" s="793">
        <f t="shared" si="0"/>
        <v>0</v>
      </c>
      <c r="E32" s="796"/>
      <c r="F32" s="793">
        <f t="shared" si="1"/>
        <v>0</v>
      </c>
      <c r="G32" s="798"/>
      <c r="H32" s="793">
        <f t="shared" si="2"/>
        <v>8.044176048499224E-05</v>
      </c>
      <c r="I32" s="645"/>
      <c r="J32" s="650">
        <f t="shared" si="6"/>
        <v>0.0030171860360850137</v>
      </c>
      <c r="K32" s="609"/>
      <c r="L32" s="643"/>
      <c r="M32" s="644"/>
      <c r="N32" s="644"/>
      <c r="O32" s="642">
        <f t="shared" si="7"/>
        <v>0.002739655531572358</v>
      </c>
      <c r="P32" s="645"/>
      <c r="Q32" s="646"/>
      <c r="R32" s="647"/>
      <c r="S32" s="646"/>
      <c r="T32" s="647"/>
      <c r="U32" s="609"/>
      <c r="V32" s="653"/>
      <c r="W32" s="650">
        <f t="shared" si="3"/>
        <v>0.007758587505189415</v>
      </c>
      <c r="Y32" s="649"/>
      <c r="Z32" s="646"/>
      <c r="AA32" s="647"/>
      <c r="AB32" s="646"/>
      <c r="AC32" s="647"/>
      <c r="AD32" s="609"/>
      <c r="AE32" s="653"/>
      <c r="AF32" s="609">
        <f t="shared" si="8"/>
        <v>0.0014976458192125664</v>
      </c>
      <c r="AG32" s="645"/>
      <c r="AH32" s="646"/>
      <c r="AI32" s="647"/>
      <c r="AJ32" s="646"/>
      <c r="AK32" s="647"/>
      <c r="AL32" s="609"/>
      <c r="AM32" s="653"/>
      <c r="AN32" s="609">
        <f t="shared" si="9"/>
        <v>0</v>
      </c>
      <c r="AO32" s="645"/>
      <c r="AP32" s="646"/>
      <c r="AQ32" s="647"/>
      <c r="AR32" s="646"/>
      <c r="AS32" s="647"/>
      <c r="AT32" s="609"/>
      <c r="AU32" s="648"/>
      <c r="AV32" s="609">
        <f t="shared" si="10"/>
        <v>0.004779081679587753</v>
      </c>
      <c r="AW32" s="645"/>
      <c r="AX32" s="646"/>
      <c r="AY32" s="647"/>
      <c r="AZ32" s="646"/>
      <c r="BA32" s="647"/>
      <c r="BB32" s="609"/>
      <c r="BC32" s="648"/>
      <c r="BD32" s="650">
        <f t="shared" si="11"/>
        <v>0.0008777229606616154</v>
      </c>
      <c r="BF32" s="651">
        <f t="shared" si="4"/>
        <v>0.003284280208210542</v>
      </c>
      <c r="BG32" s="652">
        <f t="shared" si="5"/>
        <v>11752.15957472103</v>
      </c>
    </row>
    <row r="33" spans="1:59" s="600" customFormat="1" ht="11.25" customHeight="1" thickBot="1">
      <c r="A33" s="655">
        <v>56000</v>
      </c>
      <c r="B33" s="656" t="s">
        <v>147</v>
      </c>
      <c r="C33" s="657"/>
      <c r="D33" s="794">
        <f t="shared" si="0"/>
        <v>0</v>
      </c>
      <c r="E33" s="797"/>
      <c r="F33" s="794">
        <f t="shared" si="1"/>
        <v>0</v>
      </c>
      <c r="G33" s="797"/>
      <c r="H33" s="794">
        <f t="shared" si="2"/>
        <v>0</v>
      </c>
      <c r="I33" s="797"/>
      <c r="J33" s="668">
        <f t="shared" si="6"/>
        <v>0.0013235658171635814</v>
      </c>
      <c r="K33" s="609"/>
      <c r="L33" s="659"/>
      <c r="M33" s="660"/>
      <c r="N33" s="660"/>
      <c r="O33" s="658">
        <f>(O89*5+O117*3+O145*2)/10</f>
        <v>0.0015753552455469715</v>
      </c>
      <c r="P33" s="661"/>
      <c r="Q33" s="662"/>
      <c r="R33" s="663"/>
      <c r="S33" s="662"/>
      <c r="T33" s="663"/>
      <c r="U33" s="664"/>
      <c r="V33" s="665"/>
      <c r="W33" s="668">
        <f t="shared" si="3"/>
        <v>0.002483339867893887</v>
      </c>
      <c r="Y33" s="666"/>
      <c r="Z33" s="662"/>
      <c r="AA33" s="663"/>
      <c r="AB33" s="662"/>
      <c r="AC33" s="663"/>
      <c r="AD33" s="664"/>
      <c r="AE33" s="665"/>
      <c r="AF33" s="664">
        <f>(AF61*5+AF89*3+AF117*2)/10</f>
        <v>0.0011749171580603735</v>
      </c>
      <c r="AG33" s="661"/>
      <c r="AH33" s="662"/>
      <c r="AI33" s="663"/>
      <c r="AJ33" s="662"/>
      <c r="AK33" s="663"/>
      <c r="AL33" s="664"/>
      <c r="AM33" s="665"/>
      <c r="AN33" s="664">
        <f>(AN61*5+AN89*3+AN117*2)/10</f>
        <v>0</v>
      </c>
      <c r="AO33" s="661"/>
      <c r="AP33" s="662"/>
      <c r="AQ33" s="663"/>
      <c r="AR33" s="662"/>
      <c r="AS33" s="663"/>
      <c r="AT33" s="664"/>
      <c r="AU33" s="667"/>
      <c r="AV33" s="664">
        <f t="shared" si="10"/>
        <v>0.0014199823501539009</v>
      </c>
      <c r="AW33" s="661"/>
      <c r="AX33" s="662"/>
      <c r="AY33" s="663"/>
      <c r="AZ33" s="662"/>
      <c r="BA33" s="663"/>
      <c r="BB33" s="664"/>
      <c r="BC33" s="667"/>
      <c r="BD33" s="668">
        <f t="shared" si="11"/>
        <v>0.0005394534586957986</v>
      </c>
      <c r="BF33" s="669">
        <f t="shared" si="4"/>
        <v>0.0011049191192865652</v>
      </c>
      <c r="BG33" s="670">
        <f t="shared" si="5"/>
        <v>3953.738714057832</v>
      </c>
    </row>
    <row r="34" spans="5:58" ht="8.25" customHeight="1">
      <c r="E34" s="671"/>
      <c r="G34" s="671"/>
      <c r="H34" s="597"/>
      <c r="I34" s="671"/>
      <c r="J34" s="597"/>
      <c r="K34" s="597"/>
      <c r="L34" s="597"/>
      <c r="M34" s="597"/>
      <c r="N34" s="597"/>
      <c r="O34" s="597"/>
      <c r="P34" s="672"/>
      <c r="AE34" s="671"/>
      <c r="AF34" s="671"/>
      <c r="AG34" s="671"/>
      <c r="AH34" s="671"/>
      <c r="AI34" s="671"/>
      <c r="AJ34" s="671"/>
      <c r="AK34" s="671"/>
      <c r="AL34" s="671"/>
      <c r="AM34" s="671"/>
      <c r="AN34" s="671"/>
      <c r="AO34" s="671"/>
      <c r="AP34" s="671"/>
      <c r="AQ34" s="671"/>
      <c r="AR34" s="671"/>
      <c r="AS34" s="671"/>
      <c r="AT34" s="671"/>
      <c r="AU34" s="671"/>
      <c r="AV34" s="671"/>
      <c r="AW34" s="671"/>
      <c r="AX34" s="671"/>
      <c r="AY34" s="671"/>
      <c r="AZ34" s="671"/>
      <c r="BA34" s="671"/>
      <c r="BB34" s="671"/>
      <c r="BC34" s="671"/>
      <c r="BF34" s="673"/>
    </row>
    <row r="35" spans="1:60" ht="14.25">
      <c r="A35" s="674">
        <v>2012</v>
      </c>
      <c r="B35" s="675" t="s">
        <v>354</v>
      </c>
      <c r="C35" s="786"/>
      <c r="D35" s="740"/>
      <c r="E35"/>
      <c r="F35"/>
      <c r="G35" s="671"/>
      <c r="H35" s="597"/>
      <c r="I35" s="671"/>
      <c r="J35" s="597"/>
      <c r="K35" s="597"/>
      <c r="L35"/>
      <c r="M35"/>
      <c r="N35"/>
      <c r="O35"/>
      <c r="P35"/>
      <c r="Q35"/>
      <c r="R35"/>
      <c r="S35"/>
      <c r="T35"/>
      <c r="U35"/>
      <c r="V35"/>
      <c r="W35"/>
      <c r="Y35" s="702">
        <f aca="true" t="shared" si="12" ref="Y35:AO35">SUM(Y36:Y61)</f>
        <v>15516</v>
      </c>
      <c r="Z35" s="677">
        <f t="shared" si="12"/>
        <v>0.9999999999999999</v>
      </c>
      <c r="AA35" s="676">
        <f t="shared" si="12"/>
        <v>10051</v>
      </c>
      <c r="AB35" s="677">
        <f t="shared" si="12"/>
        <v>1.0000000000000002</v>
      </c>
      <c r="AC35" s="676">
        <f t="shared" si="12"/>
        <v>3219</v>
      </c>
      <c r="AD35" s="677">
        <f t="shared" si="12"/>
        <v>1</v>
      </c>
      <c r="AE35" s="676">
        <f t="shared" si="12"/>
        <v>28786</v>
      </c>
      <c r="AF35" s="679">
        <f t="shared" si="12"/>
        <v>0.9999999999999999</v>
      </c>
      <c r="AG35" s="808">
        <f t="shared" si="12"/>
        <v>441</v>
      </c>
      <c r="AH35" s="677">
        <f t="shared" si="12"/>
        <v>1</v>
      </c>
      <c r="AI35" s="676">
        <f t="shared" si="12"/>
        <v>3639</v>
      </c>
      <c r="AJ35" s="677">
        <f t="shared" si="12"/>
        <v>1</v>
      </c>
      <c r="AK35" s="676">
        <f t="shared" si="12"/>
        <v>181</v>
      </c>
      <c r="AL35" s="677">
        <f t="shared" si="12"/>
        <v>0.9999999999999999</v>
      </c>
      <c r="AM35" s="676">
        <f t="shared" si="12"/>
        <v>4261</v>
      </c>
      <c r="AN35" s="679">
        <f t="shared" si="12"/>
        <v>0.9999999999999999</v>
      </c>
      <c r="AO35" s="808">
        <f t="shared" si="12"/>
        <v>433590.8599999999</v>
      </c>
      <c r="AP35" s="677">
        <f aca="true" t="shared" si="13" ref="AP35:BD35">SUM(AP36:AP61)</f>
        <v>1.0000000000000002</v>
      </c>
      <c r="AQ35" s="676">
        <f t="shared" si="13"/>
        <v>928995.2399999996</v>
      </c>
      <c r="AR35" s="677">
        <f t="shared" si="13"/>
        <v>1.0000000000000004</v>
      </c>
      <c r="AS35" s="676">
        <f t="shared" si="13"/>
        <v>116827.67999999998</v>
      </c>
      <c r="AT35" s="677">
        <f t="shared" si="13"/>
        <v>1.0000000000000002</v>
      </c>
      <c r="AU35" s="676">
        <f t="shared" si="13"/>
        <v>1479413.78</v>
      </c>
      <c r="AV35" s="679">
        <f t="shared" si="13"/>
        <v>1</v>
      </c>
      <c r="AW35" s="703">
        <f t="shared" si="13"/>
        <v>660243.5599999998</v>
      </c>
      <c r="AX35" s="677">
        <f t="shared" si="13"/>
        <v>1.0000000000000002</v>
      </c>
      <c r="AY35" s="676">
        <f t="shared" si="13"/>
        <v>851936.3199999998</v>
      </c>
      <c r="AZ35" s="677">
        <f t="shared" si="13"/>
        <v>1.0000000000000002</v>
      </c>
      <c r="BA35" s="676">
        <f t="shared" si="13"/>
        <v>36761.22</v>
      </c>
      <c r="BB35" s="677">
        <f t="shared" si="13"/>
        <v>0.9999999999999999</v>
      </c>
      <c r="BC35" s="676">
        <f t="shared" si="13"/>
        <v>1548941.1000000003</v>
      </c>
      <c r="BD35" s="680">
        <f t="shared" si="13"/>
        <v>0.9999999999999999</v>
      </c>
      <c r="BF35"/>
      <c r="BG35"/>
      <c r="BH35"/>
    </row>
    <row r="36" spans="1:58" ht="11.25" customHeight="1">
      <c r="A36" s="681">
        <v>11000</v>
      </c>
      <c r="B36" s="682" t="s">
        <v>355</v>
      </c>
      <c r="C36" s="786"/>
      <c r="D36" s="721"/>
      <c r="E36" s="671"/>
      <c r="G36" s="671"/>
      <c r="H36" s="597"/>
      <c r="I36" s="671"/>
      <c r="J36" s="597"/>
      <c r="K36" s="597"/>
      <c r="L36"/>
      <c r="M36"/>
      <c r="N36"/>
      <c r="O36"/>
      <c r="P36" s="672"/>
      <c r="Y36" s="683">
        <v>1502</v>
      </c>
      <c r="Z36" s="684">
        <f>Y36/$Y$35</f>
        <v>0.09680329981954112</v>
      </c>
      <c r="AA36" s="685">
        <v>2288</v>
      </c>
      <c r="AB36" s="684">
        <f>AA36/$AA$35</f>
        <v>0.2276390408914536</v>
      </c>
      <c r="AC36" s="685">
        <v>1238</v>
      </c>
      <c r="AD36" s="684">
        <f>AC36/$AC$35</f>
        <v>0.3845914880397639</v>
      </c>
      <c r="AE36" s="685">
        <v>5028</v>
      </c>
      <c r="AF36" s="688">
        <f>AE36/$AE$35</f>
        <v>0.1746682415062878</v>
      </c>
      <c r="AG36" s="809">
        <v>126</v>
      </c>
      <c r="AH36" s="684">
        <f>AG36/$AG$35</f>
        <v>0.2857142857142857</v>
      </c>
      <c r="AI36" s="685">
        <v>2206</v>
      </c>
      <c r="AJ36" s="684">
        <f>AI36/$AI$35</f>
        <v>0.6062104973893927</v>
      </c>
      <c r="AK36" s="685">
        <v>43</v>
      </c>
      <c r="AL36" s="684">
        <f>AK36/$AK$35</f>
        <v>0.23756906077348067</v>
      </c>
      <c r="AM36" s="685">
        <v>2375</v>
      </c>
      <c r="AN36" s="688">
        <f>AM36/$AM$35</f>
        <v>0.5573808965031682</v>
      </c>
      <c r="AO36" s="809">
        <v>65609.46</v>
      </c>
      <c r="AP36" s="684">
        <f>AO36/$AO$35</f>
        <v>0.1513165199100369</v>
      </c>
      <c r="AQ36" s="685">
        <v>164952.36000000002</v>
      </c>
      <c r="AR36" s="684">
        <f>AQ36/$AQ$35</f>
        <v>0.17755996252467351</v>
      </c>
      <c r="AS36" s="685">
        <v>15306.12</v>
      </c>
      <c r="AT36" s="684">
        <f>AS36/$AS$35</f>
        <v>0.13101449930358972</v>
      </c>
      <c r="AU36" s="685">
        <f aca="true" t="shared" si="14" ref="AU36:AU61">AO36+AQ36+AS36</f>
        <v>245867.94</v>
      </c>
      <c r="AV36" s="688">
        <f>AU36/$AU$35</f>
        <v>0.16619281456199494</v>
      </c>
      <c r="AW36" s="687">
        <v>208446.18</v>
      </c>
      <c r="AX36" s="684">
        <f>AW36/$AW$35</f>
        <v>0.3157110385143326</v>
      </c>
      <c r="AY36" s="685">
        <v>140078.64</v>
      </c>
      <c r="AZ36" s="684">
        <f>AY36/$AY$35</f>
        <v>0.16442383862681198</v>
      </c>
      <c r="BA36" s="685">
        <v>13435.44</v>
      </c>
      <c r="BB36" s="684">
        <f>BA36/$BA$35</f>
        <v>0.3654786212209497</v>
      </c>
      <c r="BC36" s="685">
        <f>AW36+AY36+BA36</f>
        <v>361960.26</v>
      </c>
      <c r="BD36" s="689">
        <f>BC36/$BC$35</f>
        <v>0.2336823911509611</v>
      </c>
      <c r="BF36" s="673"/>
    </row>
    <row r="37" spans="1:58" ht="11.25" customHeight="1">
      <c r="A37" s="639">
        <v>12000</v>
      </c>
      <c r="B37" s="640" t="s">
        <v>123</v>
      </c>
      <c r="C37" s="786"/>
      <c r="D37" s="721"/>
      <c r="E37" s="671"/>
      <c r="G37" s="671"/>
      <c r="H37" s="597"/>
      <c r="I37" s="671"/>
      <c r="J37" s="597"/>
      <c r="K37" s="597"/>
      <c r="L37"/>
      <c r="M37"/>
      <c r="N37"/>
      <c r="O37"/>
      <c r="P37" s="672"/>
      <c r="Y37" s="683">
        <v>204</v>
      </c>
      <c r="Z37" s="684">
        <f aca="true" t="shared" si="15" ref="Z37:Z61">Y37/$Y$35</f>
        <v>0.013147718484145398</v>
      </c>
      <c r="AA37" s="685">
        <v>36</v>
      </c>
      <c r="AB37" s="684">
        <f aca="true" t="shared" si="16" ref="AB37:AB61">AA37/$AA$35</f>
        <v>0.0035817331608795143</v>
      </c>
      <c r="AC37" s="685">
        <v>86</v>
      </c>
      <c r="AD37" s="684">
        <f aca="true" t="shared" si="17" ref="AD37:AD61">AC37/$AC$35</f>
        <v>0.02671637154395775</v>
      </c>
      <c r="AE37" s="685">
        <v>326</v>
      </c>
      <c r="AF37" s="688">
        <f aca="true" t="shared" si="18" ref="AF37:AF61">AE37/$AE$35</f>
        <v>0.01132494962829153</v>
      </c>
      <c r="AG37" s="809">
        <v>0</v>
      </c>
      <c r="AH37" s="684">
        <f aca="true" t="shared" si="19" ref="AH37:AH61">AG37/$AG$35</f>
        <v>0</v>
      </c>
      <c r="AI37" s="685">
        <v>0</v>
      </c>
      <c r="AJ37" s="684">
        <f aca="true" t="shared" si="20" ref="AJ37:AJ61">AI37/$AI$35</f>
        <v>0</v>
      </c>
      <c r="AK37" s="685">
        <v>0</v>
      </c>
      <c r="AL37" s="684">
        <f aca="true" t="shared" si="21" ref="AL37:AL61">AK37/$AK$35</f>
        <v>0</v>
      </c>
      <c r="AM37" s="685">
        <v>0</v>
      </c>
      <c r="AN37" s="688">
        <f aca="true" t="shared" si="22" ref="AN37:AN60">AM37/$AM$35</f>
        <v>0</v>
      </c>
      <c r="AO37" s="809">
        <v>15544.800000000001</v>
      </c>
      <c r="AP37" s="684">
        <f aca="true" t="shared" si="23" ref="AP37:AP61">AO37/$AO$35</f>
        <v>0.035851309227320896</v>
      </c>
      <c r="AQ37" s="685">
        <v>10353</v>
      </c>
      <c r="AR37" s="684">
        <f aca="true" t="shared" si="24" ref="AR37:AR61">AQ37/$AQ$35</f>
        <v>0.011144298220516182</v>
      </c>
      <c r="AS37" s="685">
        <v>1238.28</v>
      </c>
      <c r="AT37" s="684">
        <f aca="true" t="shared" si="25" ref="AT37:AT61">AS37/$AS$35</f>
        <v>0.010599200463451813</v>
      </c>
      <c r="AU37" s="685">
        <f t="shared" si="14"/>
        <v>27136.08</v>
      </c>
      <c r="AV37" s="688">
        <f aca="true" t="shared" si="26" ref="AV37:AV61">AU37/$AU$35</f>
        <v>0.01834245453628261</v>
      </c>
      <c r="AW37" s="687">
        <v>6054.72</v>
      </c>
      <c r="AX37" s="684">
        <f aca="true" t="shared" si="27" ref="AX37:AX61">AW37/$AW$35</f>
        <v>0.009170434013775161</v>
      </c>
      <c r="AY37" s="685">
        <v>4237.08</v>
      </c>
      <c r="AZ37" s="684">
        <f aca="true" t="shared" si="28" ref="AZ37:AZ61">AY37/$AY$35</f>
        <v>0.004973470317593692</v>
      </c>
      <c r="BA37" s="685">
        <v>777.24</v>
      </c>
      <c r="BB37" s="684">
        <f aca="true" t="shared" si="29" ref="BB37:BB61">BA37/$BA$35</f>
        <v>0.021142932688305773</v>
      </c>
      <c r="BC37" s="685">
        <f aca="true" t="shared" si="30" ref="BC37:BC61">AW37+AY37+BA37</f>
        <v>11069.039999999999</v>
      </c>
      <c r="BD37" s="689">
        <f aca="true" t="shared" si="31" ref="BD37:BD60">BC37/$BC$35</f>
        <v>0.007146198134971043</v>
      </c>
      <c r="BF37" s="673"/>
    </row>
    <row r="38" spans="1:58" ht="11.25" customHeight="1">
      <c r="A38" s="639">
        <v>13000</v>
      </c>
      <c r="B38" s="640" t="s">
        <v>356</v>
      </c>
      <c r="C38" s="786"/>
      <c r="D38" s="721"/>
      <c r="E38" s="671"/>
      <c r="G38" s="671"/>
      <c r="H38" s="597"/>
      <c r="I38" s="671"/>
      <c r="J38" s="597"/>
      <c r="K38" s="597"/>
      <c r="L38"/>
      <c r="M38"/>
      <c r="N38"/>
      <c r="O38"/>
      <c r="P38" s="672"/>
      <c r="Y38" s="683">
        <v>185</v>
      </c>
      <c r="Z38" s="684">
        <f t="shared" si="15"/>
        <v>0.011923176076308327</v>
      </c>
      <c r="AA38" s="685">
        <v>30</v>
      </c>
      <c r="AB38" s="684">
        <f t="shared" si="16"/>
        <v>0.0029847776340662623</v>
      </c>
      <c r="AC38" s="685">
        <v>9</v>
      </c>
      <c r="AD38" s="684">
        <f t="shared" si="17"/>
        <v>0.0027958993476234857</v>
      </c>
      <c r="AE38" s="685">
        <v>224</v>
      </c>
      <c r="AF38" s="688">
        <f t="shared" si="18"/>
        <v>0.007781560480789273</v>
      </c>
      <c r="AG38" s="809"/>
      <c r="AH38" s="684">
        <f t="shared" si="19"/>
        <v>0</v>
      </c>
      <c r="AI38" s="685">
        <v>5</v>
      </c>
      <c r="AJ38" s="684">
        <f t="shared" si="20"/>
        <v>0.0013740038472107722</v>
      </c>
      <c r="AK38" s="685"/>
      <c r="AL38" s="684">
        <f t="shared" si="21"/>
        <v>0</v>
      </c>
      <c r="AM38" s="685">
        <v>5</v>
      </c>
      <c r="AN38" s="688">
        <f t="shared" si="22"/>
        <v>0.0011734334663224596</v>
      </c>
      <c r="AO38" s="809">
        <v>31924.98</v>
      </c>
      <c r="AP38" s="684">
        <f t="shared" si="23"/>
        <v>0.07362927345839348</v>
      </c>
      <c r="AQ38" s="685">
        <v>13869.960000000001</v>
      </c>
      <c r="AR38" s="684">
        <f t="shared" si="24"/>
        <v>0.014930065734244243</v>
      </c>
      <c r="AS38" s="685">
        <v>98.94</v>
      </c>
      <c r="AT38" s="684">
        <f t="shared" si="25"/>
        <v>0.0008468883401604826</v>
      </c>
      <c r="AU38" s="685">
        <f t="shared" si="14"/>
        <v>45893.880000000005</v>
      </c>
      <c r="AV38" s="688">
        <f t="shared" si="26"/>
        <v>0.03102166589255374</v>
      </c>
      <c r="AW38" s="687">
        <v>13524.18</v>
      </c>
      <c r="AX38" s="684">
        <f t="shared" si="27"/>
        <v>0.020483622740674674</v>
      </c>
      <c r="AY38" s="685">
        <v>2086.92</v>
      </c>
      <c r="AZ38" s="684">
        <f t="shared" si="28"/>
        <v>0.0024496197086655495</v>
      </c>
      <c r="BA38" s="685">
        <v>0</v>
      </c>
      <c r="BB38" s="684">
        <f t="shared" si="29"/>
        <v>0</v>
      </c>
      <c r="BC38" s="685">
        <f t="shared" si="30"/>
        <v>15611.1</v>
      </c>
      <c r="BD38" s="689">
        <f t="shared" si="31"/>
        <v>0.01007856270325579</v>
      </c>
      <c r="BF38" s="673"/>
    </row>
    <row r="39" spans="1:58" ht="11.25" customHeight="1">
      <c r="A39" s="639">
        <v>14000</v>
      </c>
      <c r="B39" s="640" t="s">
        <v>125</v>
      </c>
      <c r="C39" s="786"/>
      <c r="D39" s="721"/>
      <c r="E39" s="671"/>
      <c r="G39" s="671"/>
      <c r="H39" s="597"/>
      <c r="I39" s="671"/>
      <c r="J39" s="597"/>
      <c r="K39" s="597"/>
      <c r="L39"/>
      <c r="M39"/>
      <c r="N39"/>
      <c r="O39"/>
      <c r="P39" s="672"/>
      <c r="Y39" s="683">
        <v>3220</v>
      </c>
      <c r="Z39" s="684">
        <f t="shared" si="15"/>
        <v>0.20752771332817738</v>
      </c>
      <c r="AA39" s="685">
        <v>2726</v>
      </c>
      <c r="AB39" s="684">
        <f t="shared" si="16"/>
        <v>0.271216794348821</v>
      </c>
      <c r="AC39" s="685">
        <v>547</v>
      </c>
      <c r="AD39" s="684">
        <f t="shared" si="17"/>
        <v>0.16992854923889406</v>
      </c>
      <c r="AE39" s="685">
        <v>6493</v>
      </c>
      <c r="AF39" s="688">
        <f t="shared" si="18"/>
        <v>0.2255610366150212</v>
      </c>
      <c r="AG39" s="809">
        <v>1</v>
      </c>
      <c r="AH39" s="684">
        <f t="shared" si="19"/>
        <v>0.0022675736961451248</v>
      </c>
      <c r="AI39" s="685">
        <v>527</v>
      </c>
      <c r="AJ39" s="684">
        <f t="shared" si="20"/>
        <v>0.1448200054960154</v>
      </c>
      <c r="AK39" s="685">
        <v>15</v>
      </c>
      <c r="AL39" s="684">
        <f t="shared" si="21"/>
        <v>0.08287292817679558</v>
      </c>
      <c r="AM39" s="685">
        <v>543</v>
      </c>
      <c r="AN39" s="688">
        <f t="shared" si="22"/>
        <v>0.1274348744426191</v>
      </c>
      <c r="AO39" s="809">
        <v>76126.92</v>
      </c>
      <c r="AP39" s="684">
        <f t="shared" si="23"/>
        <v>0.17557316591037</v>
      </c>
      <c r="AQ39" s="685">
        <v>168537.59999999998</v>
      </c>
      <c r="AR39" s="684">
        <f t="shared" si="24"/>
        <v>0.1814192288003543</v>
      </c>
      <c r="AS39" s="685">
        <v>27103.499999999996</v>
      </c>
      <c r="AT39" s="684">
        <f t="shared" si="25"/>
        <v>0.23199553393510855</v>
      </c>
      <c r="AU39" s="685">
        <f t="shared" si="14"/>
        <v>271768.01999999996</v>
      </c>
      <c r="AV39" s="688">
        <f t="shared" si="26"/>
        <v>0.18369980303955258</v>
      </c>
      <c r="AW39" s="687">
        <v>1448.9399999999998</v>
      </c>
      <c r="AX39" s="684">
        <f t="shared" si="27"/>
        <v>0.0021945537795173653</v>
      </c>
      <c r="AY39" s="685">
        <v>256091.87999999998</v>
      </c>
      <c r="AZ39" s="684">
        <f t="shared" si="28"/>
        <v>0.3005997913083457</v>
      </c>
      <c r="BA39" s="685">
        <v>1619.9399999999998</v>
      </c>
      <c r="BB39" s="684">
        <f t="shared" si="29"/>
        <v>0.04406654621364579</v>
      </c>
      <c r="BC39" s="685">
        <f t="shared" si="30"/>
        <v>259160.75999999998</v>
      </c>
      <c r="BD39" s="689">
        <f t="shared" si="31"/>
        <v>0.16731479331267013</v>
      </c>
      <c r="BF39" s="673"/>
    </row>
    <row r="40" spans="1:58" ht="11.25" customHeight="1">
      <c r="A40" s="639">
        <v>15000</v>
      </c>
      <c r="B40" s="640" t="s">
        <v>357</v>
      </c>
      <c r="C40" s="786"/>
      <c r="D40" s="721"/>
      <c r="E40" s="671"/>
      <c r="G40" s="671"/>
      <c r="H40" s="597"/>
      <c r="I40" s="671"/>
      <c r="J40" s="597"/>
      <c r="K40" s="597"/>
      <c r="L40"/>
      <c r="M40"/>
      <c r="N40"/>
      <c r="O40"/>
      <c r="P40" s="672"/>
      <c r="Y40" s="683">
        <v>351</v>
      </c>
      <c r="Z40" s="684">
        <f t="shared" si="15"/>
        <v>0.02262180974477958</v>
      </c>
      <c r="AA40" s="685">
        <v>585</v>
      </c>
      <c r="AB40" s="684">
        <f t="shared" si="16"/>
        <v>0.05820316386429211</v>
      </c>
      <c r="AC40" s="685">
        <v>183</v>
      </c>
      <c r="AD40" s="684">
        <f t="shared" si="17"/>
        <v>0.05684995340167754</v>
      </c>
      <c r="AE40" s="685">
        <v>1119</v>
      </c>
      <c r="AF40" s="688">
        <f t="shared" si="18"/>
        <v>0.038873063294657124</v>
      </c>
      <c r="AG40" s="809"/>
      <c r="AH40" s="684">
        <f t="shared" si="19"/>
        <v>0</v>
      </c>
      <c r="AI40" s="685">
        <v>272</v>
      </c>
      <c r="AJ40" s="684">
        <f t="shared" si="20"/>
        <v>0.074745809288266</v>
      </c>
      <c r="AK40" s="685">
        <v>11</v>
      </c>
      <c r="AL40" s="684">
        <f t="shared" si="21"/>
        <v>0.06077348066298342</v>
      </c>
      <c r="AM40" s="685">
        <v>283</v>
      </c>
      <c r="AN40" s="688">
        <f t="shared" si="22"/>
        <v>0.0664163341938512</v>
      </c>
      <c r="AO40" s="809">
        <v>39916.68</v>
      </c>
      <c r="AP40" s="684">
        <f t="shared" si="23"/>
        <v>0.09206070441614016</v>
      </c>
      <c r="AQ40" s="685">
        <v>65734.92</v>
      </c>
      <c r="AR40" s="684">
        <f t="shared" si="24"/>
        <v>0.07075915695757497</v>
      </c>
      <c r="AS40" s="685">
        <v>7255.26</v>
      </c>
      <c r="AT40" s="684">
        <f t="shared" si="25"/>
        <v>0.06210223467589189</v>
      </c>
      <c r="AU40" s="685">
        <f t="shared" si="14"/>
        <v>112906.86</v>
      </c>
      <c r="AV40" s="688">
        <f t="shared" si="26"/>
        <v>0.07631864832298642</v>
      </c>
      <c r="AW40" s="687">
        <v>31872.96</v>
      </c>
      <c r="AX40" s="684">
        <f t="shared" si="27"/>
        <v>0.048274548864967355</v>
      </c>
      <c r="AY40" s="685">
        <v>25071.6</v>
      </c>
      <c r="AZ40" s="684">
        <f t="shared" si="28"/>
        <v>0.029428960136363248</v>
      </c>
      <c r="BA40" s="685">
        <v>2484.7200000000003</v>
      </c>
      <c r="BB40" s="684">
        <f t="shared" si="29"/>
        <v>0.06759079268859956</v>
      </c>
      <c r="BC40" s="685">
        <f t="shared" si="30"/>
        <v>59429.28</v>
      </c>
      <c r="BD40" s="689">
        <f t="shared" si="31"/>
        <v>0.03836768228307712</v>
      </c>
      <c r="BF40" s="673"/>
    </row>
    <row r="41" spans="1:58" ht="11.25" customHeight="1">
      <c r="A41" s="639">
        <v>16000</v>
      </c>
      <c r="B41" s="640" t="s">
        <v>265</v>
      </c>
      <c r="C41" s="786"/>
      <c r="D41" s="721"/>
      <c r="E41" s="671"/>
      <c r="G41" s="671"/>
      <c r="H41" s="597"/>
      <c r="I41" s="671"/>
      <c r="J41" s="597"/>
      <c r="K41" s="597"/>
      <c r="L41"/>
      <c r="M41"/>
      <c r="N41"/>
      <c r="O41"/>
      <c r="P41" s="672"/>
      <c r="Y41" s="683">
        <v>24</v>
      </c>
      <c r="Z41" s="684">
        <f t="shared" si="15"/>
        <v>0.0015467904098994587</v>
      </c>
      <c r="AA41" s="685">
        <v>368</v>
      </c>
      <c r="AB41" s="684">
        <f t="shared" si="16"/>
        <v>0.036613272311212815</v>
      </c>
      <c r="AC41" s="685">
        <v>43</v>
      </c>
      <c r="AD41" s="684">
        <f t="shared" si="17"/>
        <v>0.013358185771978875</v>
      </c>
      <c r="AE41" s="685">
        <v>435</v>
      </c>
      <c r="AF41" s="688">
        <f t="shared" si="18"/>
        <v>0.015111512540818453</v>
      </c>
      <c r="AG41" s="809"/>
      <c r="AH41" s="684">
        <f t="shared" si="19"/>
        <v>0</v>
      </c>
      <c r="AI41" s="685">
        <v>274</v>
      </c>
      <c r="AJ41" s="684">
        <f t="shared" si="20"/>
        <v>0.07529541082715031</v>
      </c>
      <c r="AK41" s="685"/>
      <c r="AL41" s="684">
        <f t="shared" si="21"/>
        <v>0</v>
      </c>
      <c r="AM41" s="685">
        <v>274</v>
      </c>
      <c r="AN41" s="688">
        <f t="shared" si="22"/>
        <v>0.06430415395447078</v>
      </c>
      <c r="AO41" s="809">
        <v>280.5</v>
      </c>
      <c r="AP41" s="684">
        <f t="shared" si="23"/>
        <v>0.0006469232308079557</v>
      </c>
      <c r="AQ41" s="685">
        <v>7624.500000000001</v>
      </c>
      <c r="AR41" s="684">
        <f t="shared" si="24"/>
        <v>0.008207254108212658</v>
      </c>
      <c r="AS41" s="685">
        <v>2201.16</v>
      </c>
      <c r="AT41" s="684">
        <f t="shared" si="25"/>
        <v>0.018841082866663108</v>
      </c>
      <c r="AU41" s="685">
        <f t="shared" si="14"/>
        <v>10106.16</v>
      </c>
      <c r="AV41" s="688">
        <f t="shared" si="26"/>
        <v>0.006831192284825142</v>
      </c>
      <c r="AW41" s="687">
        <v>0</v>
      </c>
      <c r="AX41" s="684">
        <f t="shared" si="27"/>
        <v>0</v>
      </c>
      <c r="AY41" s="685">
        <v>11113.92</v>
      </c>
      <c r="AZ41" s="684">
        <f t="shared" si="28"/>
        <v>0.013045482084858177</v>
      </c>
      <c r="BA41" s="685">
        <v>324.36</v>
      </c>
      <c r="BB41" s="684">
        <f t="shared" si="29"/>
        <v>0.008823428602206347</v>
      </c>
      <c r="BC41" s="685">
        <f t="shared" si="30"/>
        <v>11438.28</v>
      </c>
      <c r="BD41" s="689">
        <f t="shared" si="31"/>
        <v>0.007384580343306791</v>
      </c>
      <c r="BF41" s="673"/>
    </row>
    <row r="42" spans="1:58" ht="11.25" customHeight="1">
      <c r="A42" s="639">
        <v>17000</v>
      </c>
      <c r="B42" s="640" t="s">
        <v>128</v>
      </c>
      <c r="C42" s="786"/>
      <c r="D42" s="721"/>
      <c r="E42" s="671"/>
      <c r="G42" s="671"/>
      <c r="H42" s="597"/>
      <c r="I42" s="671"/>
      <c r="J42" s="597"/>
      <c r="K42" s="597"/>
      <c r="L42"/>
      <c r="M42"/>
      <c r="N42"/>
      <c r="O42"/>
      <c r="P42" s="672"/>
      <c r="Y42" s="683">
        <v>203</v>
      </c>
      <c r="Z42" s="684">
        <f t="shared" si="15"/>
        <v>0.01308326888373292</v>
      </c>
      <c r="AA42" s="685">
        <v>103</v>
      </c>
      <c r="AB42" s="684">
        <f t="shared" si="16"/>
        <v>0.0102477365436275</v>
      </c>
      <c r="AC42" s="685">
        <v>38</v>
      </c>
      <c r="AD42" s="684">
        <f t="shared" si="17"/>
        <v>0.011804908356632494</v>
      </c>
      <c r="AE42" s="685">
        <v>344</v>
      </c>
      <c r="AF42" s="688">
        <f t="shared" si="18"/>
        <v>0.011950253595497812</v>
      </c>
      <c r="AG42" s="809">
        <v>131</v>
      </c>
      <c r="AH42" s="684">
        <f t="shared" si="19"/>
        <v>0.29705215419501135</v>
      </c>
      <c r="AI42" s="685">
        <v>0</v>
      </c>
      <c r="AJ42" s="684">
        <f t="shared" si="20"/>
        <v>0</v>
      </c>
      <c r="AK42" s="685"/>
      <c r="AL42" s="684">
        <f t="shared" si="21"/>
        <v>0</v>
      </c>
      <c r="AM42" s="685">
        <v>131</v>
      </c>
      <c r="AN42" s="688">
        <f t="shared" si="22"/>
        <v>0.030743956817648438</v>
      </c>
      <c r="AO42" s="809">
        <v>18893.219999999998</v>
      </c>
      <c r="AP42" s="684">
        <f t="shared" si="23"/>
        <v>0.04357384286190904</v>
      </c>
      <c r="AQ42" s="685">
        <v>18246.839999999997</v>
      </c>
      <c r="AR42" s="684">
        <f t="shared" si="24"/>
        <v>0.01964147846441065</v>
      </c>
      <c r="AS42" s="685">
        <v>2109</v>
      </c>
      <c r="AT42" s="684">
        <f t="shared" si="25"/>
        <v>0.018052228718399614</v>
      </c>
      <c r="AU42" s="685">
        <f t="shared" si="14"/>
        <v>39249.06</v>
      </c>
      <c r="AV42" s="688">
        <f t="shared" si="26"/>
        <v>0.026530143581601624</v>
      </c>
      <c r="AW42" s="687">
        <v>24474.659999999996</v>
      </c>
      <c r="AX42" s="684">
        <f t="shared" si="27"/>
        <v>0.03706913854638734</v>
      </c>
      <c r="AY42" s="685">
        <v>2002.9799999999998</v>
      </c>
      <c r="AZ42" s="684">
        <f t="shared" si="28"/>
        <v>0.0023510912177097934</v>
      </c>
      <c r="BA42" s="685">
        <v>0</v>
      </c>
      <c r="BB42" s="684">
        <f t="shared" si="29"/>
        <v>0</v>
      </c>
      <c r="BC42" s="685">
        <f t="shared" si="30"/>
        <v>26477.639999999996</v>
      </c>
      <c r="BD42" s="689">
        <f t="shared" si="31"/>
        <v>0.017094026364204547</v>
      </c>
      <c r="BF42" s="673"/>
    </row>
    <row r="43" spans="1:58" ht="11.25" customHeight="1">
      <c r="A43" s="639">
        <v>18000</v>
      </c>
      <c r="B43" s="640" t="s">
        <v>129</v>
      </c>
      <c r="C43" s="786"/>
      <c r="D43" s="721"/>
      <c r="E43" s="671"/>
      <c r="G43" s="671"/>
      <c r="H43" s="597"/>
      <c r="I43" s="671"/>
      <c r="J43" s="597"/>
      <c r="K43" s="597"/>
      <c r="L43"/>
      <c r="M43"/>
      <c r="N43"/>
      <c r="O43"/>
      <c r="P43" s="672"/>
      <c r="Y43" s="683">
        <v>80</v>
      </c>
      <c r="Z43" s="684">
        <f t="shared" si="15"/>
        <v>0.005155968032998196</v>
      </c>
      <c r="AA43" s="685">
        <v>19</v>
      </c>
      <c r="AB43" s="684">
        <f t="shared" si="16"/>
        <v>0.001890359168241966</v>
      </c>
      <c r="AC43" s="685">
        <v>7</v>
      </c>
      <c r="AD43" s="684">
        <f t="shared" si="17"/>
        <v>0.0021745883814849334</v>
      </c>
      <c r="AE43" s="685">
        <v>106</v>
      </c>
      <c r="AF43" s="688">
        <f t="shared" si="18"/>
        <v>0.003682345584659209</v>
      </c>
      <c r="AG43" s="809">
        <v>7</v>
      </c>
      <c r="AH43" s="684">
        <f t="shared" si="19"/>
        <v>0.015873015873015872</v>
      </c>
      <c r="AI43" s="685">
        <v>4</v>
      </c>
      <c r="AJ43" s="684">
        <f t="shared" si="20"/>
        <v>0.0010992030777686177</v>
      </c>
      <c r="AK43" s="685">
        <v>2</v>
      </c>
      <c r="AL43" s="684">
        <f t="shared" si="21"/>
        <v>0.011049723756906077</v>
      </c>
      <c r="AM43" s="685">
        <v>13</v>
      </c>
      <c r="AN43" s="688">
        <f t="shared" si="22"/>
        <v>0.0030509270124383947</v>
      </c>
      <c r="AO43" s="809">
        <v>17558.28</v>
      </c>
      <c r="AP43" s="684">
        <f t="shared" si="23"/>
        <v>0.040495041800466</v>
      </c>
      <c r="AQ43" s="685">
        <v>10460.1</v>
      </c>
      <c r="AR43" s="684">
        <f t="shared" si="24"/>
        <v>0.011259584064176695</v>
      </c>
      <c r="AS43" s="685">
        <v>148.92000000000002</v>
      </c>
      <c r="AT43" s="684">
        <f t="shared" si="25"/>
        <v>0.0012746979140559843</v>
      </c>
      <c r="AU43" s="685">
        <f t="shared" si="14"/>
        <v>28167.299999999996</v>
      </c>
      <c r="AV43" s="688">
        <f t="shared" si="26"/>
        <v>0.019039500902850854</v>
      </c>
      <c r="AW43" s="687">
        <v>3069.18</v>
      </c>
      <c r="AX43" s="684">
        <f t="shared" si="27"/>
        <v>0.0046485572687751785</v>
      </c>
      <c r="AY43" s="685">
        <v>12931.56</v>
      </c>
      <c r="AZ43" s="684">
        <f t="shared" si="28"/>
        <v>0.015179021831115268</v>
      </c>
      <c r="BA43" s="685">
        <v>575.28</v>
      </c>
      <c r="BB43" s="684">
        <f t="shared" si="29"/>
        <v>0.015649099785045216</v>
      </c>
      <c r="BC43" s="685">
        <f t="shared" si="30"/>
        <v>16576.02</v>
      </c>
      <c r="BD43" s="689">
        <f t="shared" si="31"/>
        <v>0.010701517313989536</v>
      </c>
      <c r="BF43" s="673"/>
    </row>
    <row r="44" spans="1:58" ht="11.25" customHeight="1">
      <c r="A44" s="639">
        <v>19000</v>
      </c>
      <c r="B44" s="640" t="s">
        <v>130</v>
      </c>
      <c r="C44" s="786"/>
      <c r="D44" s="721"/>
      <c r="E44" s="671"/>
      <c r="G44" s="671"/>
      <c r="H44" s="597"/>
      <c r="I44" s="671"/>
      <c r="J44" s="597"/>
      <c r="K44" s="597"/>
      <c r="L44"/>
      <c r="M44"/>
      <c r="N44"/>
      <c r="O44"/>
      <c r="P44" s="672"/>
      <c r="Y44" s="683">
        <v>385</v>
      </c>
      <c r="Z44" s="684">
        <f t="shared" si="15"/>
        <v>0.024813096158803817</v>
      </c>
      <c r="AA44" s="685">
        <v>130</v>
      </c>
      <c r="AB44" s="684">
        <f t="shared" si="16"/>
        <v>0.012934036414287135</v>
      </c>
      <c r="AC44" s="685">
        <v>27</v>
      </c>
      <c r="AD44" s="684">
        <f t="shared" si="17"/>
        <v>0.008387698042870456</v>
      </c>
      <c r="AE44" s="685">
        <v>542</v>
      </c>
      <c r="AF44" s="688">
        <f t="shared" si="18"/>
        <v>0.0188285972347669</v>
      </c>
      <c r="AG44" s="809">
        <v>0</v>
      </c>
      <c r="AH44" s="684">
        <f t="shared" si="19"/>
        <v>0</v>
      </c>
      <c r="AI44" s="685">
        <v>0</v>
      </c>
      <c r="AJ44" s="684">
        <f t="shared" si="20"/>
        <v>0</v>
      </c>
      <c r="AK44" s="685">
        <v>0</v>
      </c>
      <c r="AL44" s="684">
        <f t="shared" si="21"/>
        <v>0</v>
      </c>
      <c r="AM44" s="685">
        <v>0</v>
      </c>
      <c r="AN44" s="688">
        <f t="shared" si="22"/>
        <v>0</v>
      </c>
      <c r="AO44" s="809">
        <v>8474.16</v>
      </c>
      <c r="AP44" s="684">
        <f t="shared" si="23"/>
        <v>0.01954413891473635</v>
      </c>
      <c r="AQ44" s="685">
        <v>8168.16</v>
      </c>
      <c r="AR44" s="684">
        <f t="shared" si="24"/>
        <v>0.008792467009841733</v>
      </c>
      <c r="AS44" s="685">
        <v>582.42</v>
      </c>
      <c r="AT44" s="684">
        <f t="shared" si="25"/>
        <v>0.004985291157027171</v>
      </c>
      <c r="AU44" s="685">
        <f t="shared" si="14"/>
        <v>17224.739999999998</v>
      </c>
      <c r="AV44" s="688">
        <f t="shared" si="26"/>
        <v>0.011642949547218628</v>
      </c>
      <c r="AW44" s="687">
        <v>4652.22</v>
      </c>
      <c r="AX44" s="684">
        <f t="shared" si="27"/>
        <v>0.007046217913886205</v>
      </c>
      <c r="AY44" s="685">
        <v>0</v>
      </c>
      <c r="AZ44" s="684">
        <f t="shared" si="28"/>
        <v>0</v>
      </c>
      <c r="BA44" s="685">
        <v>86.7</v>
      </c>
      <c r="BB44" s="684">
        <f t="shared" si="29"/>
        <v>0.002358463620086602</v>
      </c>
      <c r="BC44" s="685">
        <f t="shared" si="30"/>
        <v>4738.92</v>
      </c>
      <c r="BD44" s="689">
        <f t="shared" si="31"/>
        <v>0.0030594578451046323</v>
      </c>
      <c r="BF44" s="673"/>
    </row>
    <row r="45" spans="1:58" ht="11.25" customHeight="1">
      <c r="A45" s="639">
        <v>21000</v>
      </c>
      <c r="B45" s="640" t="s">
        <v>131</v>
      </c>
      <c r="C45" s="786"/>
      <c r="D45" s="721"/>
      <c r="E45" s="671"/>
      <c r="G45" s="671"/>
      <c r="H45" s="597"/>
      <c r="I45" s="671"/>
      <c r="J45" s="597"/>
      <c r="K45" s="597"/>
      <c r="L45"/>
      <c r="M45"/>
      <c r="N45"/>
      <c r="O45"/>
      <c r="P45" s="672"/>
      <c r="Y45" s="683">
        <v>1502</v>
      </c>
      <c r="Z45" s="684">
        <f t="shared" si="15"/>
        <v>0.09680329981954112</v>
      </c>
      <c r="AA45" s="685">
        <v>463</v>
      </c>
      <c r="AB45" s="684">
        <f t="shared" si="16"/>
        <v>0.046065068152422645</v>
      </c>
      <c r="AC45" s="685">
        <v>211</v>
      </c>
      <c r="AD45" s="684">
        <f t="shared" si="17"/>
        <v>0.06554830692761728</v>
      </c>
      <c r="AE45" s="685">
        <v>2176</v>
      </c>
      <c r="AF45" s="688">
        <f t="shared" si="18"/>
        <v>0.0755923018133815</v>
      </c>
      <c r="AG45" s="809">
        <v>51</v>
      </c>
      <c r="AH45" s="684">
        <f t="shared" si="19"/>
        <v>0.11564625850340136</v>
      </c>
      <c r="AI45" s="685">
        <v>89</v>
      </c>
      <c r="AJ45" s="684">
        <f t="shared" si="20"/>
        <v>0.024457268480351745</v>
      </c>
      <c r="AK45" s="685">
        <v>10</v>
      </c>
      <c r="AL45" s="684">
        <f t="shared" si="21"/>
        <v>0.055248618784530384</v>
      </c>
      <c r="AM45" s="685">
        <v>150</v>
      </c>
      <c r="AN45" s="688">
        <f t="shared" si="22"/>
        <v>0.035203003989673784</v>
      </c>
      <c r="AO45" s="809">
        <v>12215.52</v>
      </c>
      <c r="AP45" s="684">
        <f t="shared" si="23"/>
        <v>0.02817291858965847</v>
      </c>
      <c r="AQ45" s="685">
        <v>64338.54</v>
      </c>
      <c r="AR45" s="684">
        <f t="shared" si="24"/>
        <v>0.06925604914832505</v>
      </c>
      <c r="AS45" s="685">
        <v>8001.900000000001</v>
      </c>
      <c r="AT45" s="684">
        <f t="shared" si="25"/>
        <v>0.06849318586143285</v>
      </c>
      <c r="AU45" s="685">
        <f t="shared" si="14"/>
        <v>84555.95999999999</v>
      </c>
      <c r="AV45" s="688">
        <f t="shared" si="26"/>
        <v>0.05715504420947058</v>
      </c>
      <c r="AW45" s="687">
        <v>70345.32</v>
      </c>
      <c r="AX45" s="684">
        <f t="shared" si="27"/>
        <v>0.10654450003268495</v>
      </c>
      <c r="AY45" s="685">
        <v>76556.1</v>
      </c>
      <c r="AZ45" s="684">
        <f t="shared" si="28"/>
        <v>0.08986129385820764</v>
      </c>
      <c r="BA45" s="685">
        <v>4659.36</v>
      </c>
      <c r="BB45" s="684">
        <f t="shared" si="29"/>
        <v>0.12674660960653644</v>
      </c>
      <c r="BC45" s="685">
        <f t="shared" si="30"/>
        <v>151560.78</v>
      </c>
      <c r="BD45" s="689">
        <f t="shared" si="31"/>
        <v>0.09784799434917181</v>
      </c>
      <c r="BF45" s="673"/>
    </row>
    <row r="46" spans="1:58" ht="11.25" customHeight="1">
      <c r="A46" s="639">
        <v>22000</v>
      </c>
      <c r="B46" s="640" t="s">
        <v>270</v>
      </c>
      <c r="C46" s="786"/>
      <c r="D46" s="721"/>
      <c r="E46" s="671"/>
      <c r="G46" s="671"/>
      <c r="H46" s="597"/>
      <c r="I46" s="671"/>
      <c r="J46" s="597"/>
      <c r="K46" s="597"/>
      <c r="L46"/>
      <c r="M46"/>
      <c r="N46"/>
      <c r="O46"/>
      <c r="P46" s="672"/>
      <c r="Y46" s="683">
        <v>326</v>
      </c>
      <c r="Z46" s="684">
        <f t="shared" si="15"/>
        <v>0.021010569734467646</v>
      </c>
      <c r="AA46" s="685">
        <v>94</v>
      </c>
      <c r="AB46" s="684">
        <f t="shared" si="16"/>
        <v>0.00935230325340762</v>
      </c>
      <c r="AC46" s="685">
        <v>74</v>
      </c>
      <c r="AD46" s="684">
        <f t="shared" si="17"/>
        <v>0.022988505747126436</v>
      </c>
      <c r="AE46" s="685">
        <v>494</v>
      </c>
      <c r="AF46" s="688">
        <f t="shared" si="18"/>
        <v>0.017161119988883484</v>
      </c>
      <c r="AG46" s="809">
        <v>6</v>
      </c>
      <c r="AH46" s="684">
        <f t="shared" si="19"/>
        <v>0.013605442176870748</v>
      </c>
      <c r="AI46" s="685">
        <v>22</v>
      </c>
      <c r="AJ46" s="684">
        <f t="shared" si="20"/>
        <v>0.006045616927727398</v>
      </c>
      <c r="AK46" s="685">
        <v>8</v>
      </c>
      <c r="AL46" s="684">
        <f t="shared" si="21"/>
        <v>0.04419889502762431</v>
      </c>
      <c r="AM46" s="685">
        <v>36</v>
      </c>
      <c r="AN46" s="688">
        <f t="shared" si="22"/>
        <v>0.00844872095752171</v>
      </c>
      <c r="AO46" s="809">
        <v>249.9</v>
      </c>
      <c r="AP46" s="684">
        <f t="shared" si="23"/>
        <v>0.0005763497874470879</v>
      </c>
      <c r="AQ46" s="685">
        <v>4709.34</v>
      </c>
      <c r="AR46" s="684">
        <f t="shared" si="24"/>
        <v>0.005069283239815095</v>
      </c>
      <c r="AS46" s="685">
        <v>4109.58</v>
      </c>
      <c r="AT46" s="684">
        <f t="shared" si="25"/>
        <v>0.035176423943366855</v>
      </c>
      <c r="AU46" s="685">
        <f t="shared" si="14"/>
        <v>9068.82</v>
      </c>
      <c r="AV46" s="688">
        <f t="shared" si="26"/>
        <v>0.006130009144568059</v>
      </c>
      <c r="AW46" s="687">
        <v>5356.02</v>
      </c>
      <c r="AX46" s="684">
        <f t="shared" si="27"/>
        <v>0.008112188174921391</v>
      </c>
      <c r="AY46" s="685">
        <v>17576.64</v>
      </c>
      <c r="AZ46" s="684">
        <f t="shared" si="28"/>
        <v>0.020631401182661168</v>
      </c>
      <c r="BA46" s="685">
        <v>1085.28</v>
      </c>
      <c r="BB46" s="684">
        <f t="shared" si="29"/>
        <v>0.029522415197319348</v>
      </c>
      <c r="BC46" s="685">
        <f t="shared" si="30"/>
        <v>24017.94</v>
      </c>
      <c r="BD46" s="689">
        <f t="shared" si="31"/>
        <v>0.015506038286413856</v>
      </c>
      <c r="BF46" s="673"/>
    </row>
    <row r="47" spans="1:58" ht="11.25" customHeight="1">
      <c r="A47" s="639">
        <v>23000</v>
      </c>
      <c r="B47" s="640" t="s">
        <v>358</v>
      </c>
      <c r="C47" s="786"/>
      <c r="D47" s="721"/>
      <c r="E47" s="671"/>
      <c r="G47" s="671"/>
      <c r="H47" s="597"/>
      <c r="I47" s="671"/>
      <c r="J47" s="597"/>
      <c r="K47" s="597"/>
      <c r="L47"/>
      <c r="M47"/>
      <c r="N47"/>
      <c r="O47"/>
      <c r="P47" s="672"/>
      <c r="Y47" s="683">
        <v>277</v>
      </c>
      <c r="Z47" s="684">
        <f t="shared" si="15"/>
        <v>0.01785253931425625</v>
      </c>
      <c r="AA47" s="685">
        <v>76</v>
      </c>
      <c r="AB47" s="684">
        <f t="shared" si="16"/>
        <v>0.007561436672967864</v>
      </c>
      <c r="AC47" s="685">
        <v>24</v>
      </c>
      <c r="AD47" s="684">
        <f t="shared" si="17"/>
        <v>0.007455731593662628</v>
      </c>
      <c r="AE47" s="685">
        <v>377</v>
      </c>
      <c r="AF47" s="688">
        <f t="shared" si="18"/>
        <v>0.01309664420204266</v>
      </c>
      <c r="AG47" s="809">
        <v>2</v>
      </c>
      <c r="AH47" s="684">
        <f t="shared" si="19"/>
        <v>0.0045351473922902496</v>
      </c>
      <c r="AI47" s="685">
        <v>0</v>
      </c>
      <c r="AJ47" s="684">
        <f t="shared" si="20"/>
        <v>0</v>
      </c>
      <c r="AK47" s="685">
        <v>1</v>
      </c>
      <c r="AL47" s="684">
        <f t="shared" si="21"/>
        <v>0.0055248618784530384</v>
      </c>
      <c r="AM47" s="685">
        <v>3</v>
      </c>
      <c r="AN47" s="688">
        <f t="shared" si="22"/>
        <v>0.0007040600797934757</v>
      </c>
      <c r="AO47" s="809">
        <v>17137.62</v>
      </c>
      <c r="AP47" s="684">
        <f t="shared" si="23"/>
        <v>0.03952486452320513</v>
      </c>
      <c r="AQ47" s="685">
        <v>39307.2</v>
      </c>
      <c r="AR47" s="684">
        <f t="shared" si="24"/>
        <v>0.042311519271078304</v>
      </c>
      <c r="AS47" s="685">
        <v>5540.4</v>
      </c>
      <c r="AT47" s="684">
        <f t="shared" si="25"/>
        <v>0.04742369274130926</v>
      </c>
      <c r="AU47" s="685">
        <f t="shared" si="14"/>
        <v>61985.219999999994</v>
      </c>
      <c r="AV47" s="688">
        <f t="shared" si="26"/>
        <v>0.04189850117524253</v>
      </c>
      <c r="AW47" s="687">
        <v>51258.96</v>
      </c>
      <c r="AX47" s="684">
        <f t="shared" si="27"/>
        <v>0.07763644070984958</v>
      </c>
      <c r="AY47" s="685">
        <v>26533.5</v>
      </c>
      <c r="AZ47" s="684">
        <f t="shared" si="28"/>
        <v>0.03114493346169348</v>
      </c>
      <c r="BA47" s="685">
        <v>660.06</v>
      </c>
      <c r="BB47" s="684">
        <f t="shared" si="29"/>
        <v>0.01795533445299149</v>
      </c>
      <c r="BC47" s="685">
        <f t="shared" si="30"/>
        <v>78452.51999999999</v>
      </c>
      <c r="BD47" s="689">
        <f t="shared" si="31"/>
        <v>0.05064913055764352</v>
      </c>
      <c r="BF47" s="673"/>
    </row>
    <row r="48" spans="1:58" ht="11.25" customHeight="1">
      <c r="A48" s="639">
        <v>24000</v>
      </c>
      <c r="B48" s="640" t="s">
        <v>134</v>
      </c>
      <c r="C48" s="786"/>
      <c r="D48" s="721"/>
      <c r="E48" s="671"/>
      <c r="G48" s="671"/>
      <c r="H48" s="597"/>
      <c r="I48" s="671"/>
      <c r="J48" s="597"/>
      <c r="K48" s="597"/>
      <c r="L48"/>
      <c r="M48"/>
      <c r="N48"/>
      <c r="O48"/>
      <c r="P48" s="672"/>
      <c r="Y48" s="683">
        <v>295</v>
      </c>
      <c r="Z48" s="684">
        <f t="shared" si="15"/>
        <v>0.019012632121680844</v>
      </c>
      <c r="AA48" s="685">
        <v>106</v>
      </c>
      <c r="AB48" s="684">
        <f t="shared" si="16"/>
        <v>0.010546214307034125</v>
      </c>
      <c r="AC48" s="685">
        <v>40</v>
      </c>
      <c r="AD48" s="684">
        <f t="shared" si="17"/>
        <v>0.012426219322771047</v>
      </c>
      <c r="AE48" s="685">
        <v>441</v>
      </c>
      <c r="AF48" s="688">
        <f t="shared" si="18"/>
        <v>0.01531994719655388</v>
      </c>
      <c r="AG48" s="809">
        <v>3</v>
      </c>
      <c r="AH48" s="684">
        <f t="shared" si="19"/>
        <v>0.006802721088435374</v>
      </c>
      <c r="AI48" s="685">
        <v>1</v>
      </c>
      <c r="AJ48" s="684">
        <f t="shared" si="20"/>
        <v>0.0002748007694421544</v>
      </c>
      <c r="AK48" s="685">
        <v>2</v>
      </c>
      <c r="AL48" s="684">
        <f t="shared" si="21"/>
        <v>0.011049723756906077</v>
      </c>
      <c r="AM48" s="685">
        <v>6</v>
      </c>
      <c r="AN48" s="688">
        <f t="shared" si="22"/>
        <v>0.0014081201595869514</v>
      </c>
      <c r="AO48" s="809">
        <v>17977.8</v>
      </c>
      <c r="AP48" s="684">
        <f t="shared" si="23"/>
        <v>0.04146258987101343</v>
      </c>
      <c r="AQ48" s="685">
        <v>14808.599999999999</v>
      </c>
      <c r="AR48" s="684">
        <f t="shared" si="24"/>
        <v>0.01594044766042074</v>
      </c>
      <c r="AS48" s="685">
        <v>4720.74</v>
      </c>
      <c r="AT48" s="684">
        <f t="shared" si="25"/>
        <v>0.04040771844480692</v>
      </c>
      <c r="AU48" s="685">
        <f t="shared" si="14"/>
        <v>37507.13999999999</v>
      </c>
      <c r="AV48" s="688">
        <f t="shared" si="26"/>
        <v>0.025352704231266517</v>
      </c>
      <c r="AW48" s="687">
        <v>15086.759999999998</v>
      </c>
      <c r="AX48" s="684">
        <f t="shared" si="27"/>
        <v>0.022850294821504965</v>
      </c>
      <c r="AY48" s="685">
        <v>2828.3399999999997</v>
      </c>
      <c r="AZ48" s="684">
        <f t="shared" si="28"/>
        <v>0.003319896022275468</v>
      </c>
      <c r="BA48" s="685">
        <v>577.9799999999999</v>
      </c>
      <c r="BB48" s="684">
        <f t="shared" si="29"/>
        <v>0.01572254674899255</v>
      </c>
      <c r="BC48" s="685">
        <f t="shared" si="30"/>
        <v>18493.079999999998</v>
      </c>
      <c r="BD48" s="689">
        <f t="shared" si="31"/>
        <v>0.011939175737540952</v>
      </c>
      <c r="BF48" s="673"/>
    </row>
    <row r="49" spans="1:58" ht="11.25" customHeight="1">
      <c r="A49" s="639">
        <v>25000</v>
      </c>
      <c r="B49" s="640" t="s">
        <v>359</v>
      </c>
      <c r="C49" s="786"/>
      <c r="D49" s="721"/>
      <c r="E49" s="671"/>
      <c r="G49" s="671"/>
      <c r="H49" s="597"/>
      <c r="I49" s="671"/>
      <c r="J49" s="597"/>
      <c r="K49" s="597"/>
      <c r="L49"/>
      <c r="M49"/>
      <c r="N49"/>
      <c r="O49"/>
      <c r="P49" s="672"/>
      <c r="Y49" s="683">
        <v>137</v>
      </c>
      <c r="Z49" s="684">
        <f t="shared" si="15"/>
        <v>0.00882959525650941</v>
      </c>
      <c r="AA49" s="685">
        <v>32</v>
      </c>
      <c r="AB49" s="684">
        <f t="shared" si="16"/>
        <v>0.0031837628096706796</v>
      </c>
      <c r="AC49" s="685">
        <v>41</v>
      </c>
      <c r="AD49" s="684">
        <f t="shared" si="17"/>
        <v>0.012736874805840324</v>
      </c>
      <c r="AE49" s="685">
        <v>210</v>
      </c>
      <c r="AF49" s="688">
        <f t="shared" si="18"/>
        <v>0.007295212950739943</v>
      </c>
      <c r="AG49" s="809">
        <v>3</v>
      </c>
      <c r="AH49" s="684">
        <f t="shared" si="19"/>
        <v>0.006802721088435374</v>
      </c>
      <c r="AI49" s="685">
        <v>0</v>
      </c>
      <c r="AJ49" s="684">
        <f t="shared" si="20"/>
        <v>0</v>
      </c>
      <c r="AK49" s="685">
        <v>1</v>
      </c>
      <c r="AL49" s="684">
        <f t="shared" si="21"/>
        <v>0.0055248618784530384</v>
      </c>
      <c r="AM49" s="685">
        <v>4</v>
      </c>
      <c r="AN49" s="688">
        <f t="shared" si="22"/>
        <v>0.0009387467730579676</v>
      </c>
      <c r="AO49" s="809">
        <v>13336.5</v>
      </c>
      <c r="AP49" s="684">
        <f t="shared" si="23"/>
        <v>0.030758259064778262</v>
      </c>
      <c r="AQ49" s="685">
        <v>11682.06</v>
      </c>
      <c r="AR49" s="684">
        <f t="shared" si="24"/>
        <v>0.012574940642322348</v>
      </c>
      <c r="AS49" s="685">
        <v>2292.96</v>
      </c>
      <c r="AT49" s="684">
        <f t="shared" si="25"/>
        <v>0.01962685555340995</v>
      </c>
      <c r="AU49" s="685">
        <f t="shared" si="14"/>
        <v>27311.519999999997</v>
      </c>
      <c r="AV49" s="688">
        <f t="shared" si="26"/>
        <v>0.018461042048695798</v>
      </c>
      <c r="AW49" s="687">
        <v>21533.22</v>
      </c>
      <c r="AX49" s="684">
        <f t="shared" si="27"/>
        <v>0.03261405533436783</v>
      </c>
      <c r="AY49" s="685">
        <v>3342.54</v>
      </c>
      <c r="AZ49" s="684">
        <f t="shared" si="28"/>
        <v>0.003923462260653473</v>
      </c>
      <c r="BA49" s="685">
        <v>948.6</v>
      </c>
      <c r="BB49" s="684">
        <f t="shared" si="29"/>
        <v>0.02580436666682988</v>
      </c>
      <c r="BC49" s="685">
        <f t="shared" si="30"/>
        <v>25824.36</v>
      </c>
      <c r="BD49" s="689">
        <f t="shared" si="31"/>
        <v>0.016672267266973545</v>
      </c>
      <c r="BF49" s="673"/>
    </row>
    <row r="50" spans="1:58" ht="11.25" customHeight="1">
      <c r="A50" s="639">
        <v>26000</v>
      </c>
      <c r="B50" s="640" t="s">
        <v>360</v>
      </c>
      <c r="C50" s="786"/>
      <c r="D50" s="721"/>
      <c r="E50" s="671"/>
      <c r="G50" s="671"/>
      <c r="H50" s="597"/>
      <c r="I50" s="671"/>
      <c r="J50" s="597"/>
      <c r="K50" s="597"/>
      <c r="L50"/>
      <c r="M50"/>
      <c r="N50"/>
      <c r="O50"/>
      <c r="P50" s="672"/>
      <c r="Y50" s="683">
        <v>2017</v>
      </c>
      <c r="Z50" s="684">
        <f t="shared" si="15"/>
        <v>0.129994844031967</v>
      </c>
      <c r="AA50" s="685">
        <v>756</v>
      </c>
      <c r="AB50" s="684">
        <f t="shared" si="16"/>
        <v>0.0752163963784698</v>
      </c>
      <c r="AC50" s="685">
        <v>236</v>
      </c>
      <c r="AD50" s="684">
        <f t="shared" si="17"/>
        <v>0.07331469400434917</v>
      </c>
      <c r="AE50" s="685">
        <v>3009</v>
      </c>
      <c r="AF50" s="688">
        <f t="shared" si="18"/>
        <v>0.10452997985131661</v>
      </c>
      <c r="AG50" s="809">
        <v>5</v>
      </c>
      <c r="AH50" s="684">
        <f t="shared" si="19"/>
        <v>0.011337868480725623</v>
      </c>
      <c r="AI50" s="685">
        <v>10</v>
      </c>
      <c r="AJ50" s="684">
        <f t="shared" si="20"/>
        <v>0.0027480076944215444</v>
      </c>
      <c r="AK50" s="685">
        <v>4</v>
      </c>
      <c r="AL50" s="684">
        <f t="shared" si="21"/>
        <v>0.022099447513812154</v>
      </c>
      <c r="AM50" s="685">
        <v>19</v>
      </c>
      <c r="AN50" s="688">
        <f t="shared" si="22"/>
        <v>0.004459047172025346</v>
      </c>
      <c r="AO50" s="809">
        <v>21697.62</v>
      </c>
      <c r="AP50" s="684">
        <f t="shared" si="23"/>
        <v>0.05004169137698152</v>
      </c>
      <c r="AQ50" s="685">
        <v>75334.62</v>
      </c>
      <c r="AR50" s="684">
        <f t="shared" si="24"/>
        <v>0.0810925791180588</v>
      </c>
      <c r="AS50" s="685">
        <v>16119.599999999999</v>
      </c>
      <c r="AT50" s="684">
        <f t="shared" si="25"/>
        <v>0.13797757517738948</v>
      </c>
      <c r="AU50" s="685">
        <f t="shared" si="14"/>
        <v>113151.84</v>
      </c>
      <c r="AV50" s="688">
        <f t="shared" si="26"/>
        <v>0.07648424094035408</v>
      </c>
      <c r="AW50" s="687">
        <v>46752.53999999999</v>
      </c>
      <c r="AX50" s="684">
        <f t="shared" si="27"/>
        <v>0.07081105039479674</v>
      </c>
      <c r="AY50" s="685">
        <v>64553.63999999999</v>
      </c>
      <c r="AZ50" s="684">
        <f t="shared" si="28"/>
        <v>0.0757728464963203</v>
      </c>
      <c r="BA50" s="685">
        <v>2083.9199999999996</v>
      </c>
      <c r="BB50" s="684">
        <f t="shared" si="29"/>
        <v>0.05668799892930647</v>
      </c>
      <c r="BC50" s="685">
        <f t="shared" si="30"/>
        <v>113390.09999999999</v>
      </c>
      <c r="BD50" s="689">
        <f t="shared" si="31"/>
        <v>0.07320491398930531</v>
      </c>
      <c r="BF50" s="673"/>
    </row>
    <row r="51" spans="1:58" ht="11.25" customHeight="1">
      <c r="A51" s="639">
        <v>27000</v>
      </c>
      <c r="B51" s="640" t="s">
        <v>361</v>
      </c>
      <c r="C51" s="786"/>
      <c r="D51" s="721"/>
      <c r="E51" s="671"/>
      <c r="G51" s="671"/>
      <c r="H51" s="597"/>
      <c r="I51" s="671"/>
      <c r="J51" s="597"/>
      <c r="K51" s="597"/>
      <c r="L51"/>
      <c r="M51"/>
      <c r="N51"/>
      <c r="O51"/>
      <c r="P51" s="672"/>
      <c r="Y51" s="683">
        <v>679</v>
      </c>
      <c r="Z51" s="684">
        <f t="shared" si="15"/>
        <v>0.04376127868007219</v>
      </c>
      <c r="AA51" s="685">
        <v>340</v>
      </c>
      <c r="AB51" s="684">
        <f t="shared" si="16"/>
        <v>0.03382747985275097</v>
      </c>
      <c r="AC51" s="685">
        <v>119</v>
      </c>
      <c r="AD51" s="684">
        <f t="shared" si="17"/>
        <v>0.036968002485243866</v>
      </c>
      <c r="AE51" s="685">
        <v>1138</v>
      </c>
      <c r="AF51" s="688">
        <f t="shared" si="18"/>
        <v>0.03953310637115264</v>
      </c>
      <c r="AG51" s="809">
        <v>26</v>
      </c>
      <c r="AH51" s="684">
        <f t="shared" si="19"/>
        <v>0.05895691609977324</v>
      </c>
      <c r="AI51" s="685">
        <v>14</v>
      </c>
      <c r="AJ51" s="684">
        <f t="shared" si="20"/>
        <v>0.0038472107721901623</v>
      </c>
      <c r="AK51" s="685">
        <v>15</v>
      </c>
      <c r="AL51" s="684">
        <f t="shared" si="21"/>
        <v>0.08287292817679558</v>
      </c>
      <c r="AM51" s="685">
        <v>55</v>
      </c>
      <c r="AN51" s="688">
        <f t="shared" si="22"/>
        <v>0.012907768129547055</v>
      </c>
      <c r="AO51" s="809">
        <v>10783.259999999998</v>
      </c>
      <c r="AP51" s="684">
        <f t="shared" si="23"/>
        <v>0.024869666302467723</v>
      </c>
      <c r="AQ51" s="685">
        <v>26092.32</v>
      </c>
      <c r="AR51" s="684">
        <f t="shared" si="24"/>
        <v>0.02808660246741416</v>
      </c>
      <c r="AS51" s="685">
        <v>6048.839999999999</v>
      </c>
      <c r="AT51" s="684">
        <f t="shared" si="25"/>
        <v>0.05177574355666397</v>
      </c>
      <c r="AU51" s="685">
        <f t="shared" si="14"/>
        <v>42924.42</v>
      </c>
      <c r="AV51" s="688">
        <f t="shared" si="26"/>
        <v>0.02901447896476941</v>
      </c>
      <c r="AW51" s="687">
        <v>47857.2</v>
      </c>
      <c r="AX51" s="684">
        <f t="shared" si="27"/>
        <v>0.0724841602392911</v>
      </c>
      <c r="AY51" s="685">
        <v>17845.559999999998</v>
      </c>
      <c r="AZ51" s="684">
        <f t="shared" si="28"/>
        <v>0.02094705857827496</v>
      </c>
      <c r="BA51" s="685">
        <v>1893.5399999999997</v>
      </c>
      <c r="BB51" s="684">
        <f t="shared" si="29"/>
        <v>0.05150917189364226</v>
      </c>
      <c r="BC51" s="685">
        <f t="shared" si="30"/>
        <v>67596.29999999999</v>
      </c>
      <c r="BD51" s="689">
        <f t="shared" si="31"/>
        <v>0.04364032951285234</v>
      </c>
      <c r="BF51" s="673"/>
    </row>
    <row r="52" spans="1:58" ht="11.25" customHeight="1">
      <c r="A52" s="639">
        <v>28000</v>
      </c>
      <c r="B52" s="640" t="s">
        <v>362</v>
      </c>
      <c r="C52" s="786"/>
      <c r="D52" s="721"/>
      <c r="E52" s="671"/>
      <c r="G52" s="671"/>
      <c r="H52" s="597"/>
      <c r="I52" s="671"/>
      <c r="J52" s="597"/>
      <c r="K52" s="597"/>
      <c r="L52"/>
      <c r="M52"/>
      <c r="N52"/>
      <c r="O52"/>
      <c r="P52" s="672"/>
      <c r="Y52" s="683">
        <v>455</v>
      </c>
      <c r="Z52" s="684">
        <f t="shared" si="15"/>
        <v>0.029324568187677237</v>
      </c>
      <c r="AA52" s="685">
        <v>217</v>
      </c>
      <c r="AB52" s="684">
        <f t="shared" si="16"/>
        <v>0.021589891553079294</v>
      </c>
      <c r="AC52" s="685">
        <v>52</v>
      </c>
      <c r="AD52" s="684">
        <f t="shared" si="17"/>
        <v>0.01615408511960236</v>
      </c>
      <c r="AE52" s="685">
        <v>724</v>
      </c>
      <c r="AF52" s="688">
        <f t="shared" si="18"/>
        <v>0.025151115125408186</v>
      </c>
      <c r="AG52" s="809">
        <v>3</v>
      </c>
      <c r="AH52" s="684">
        <f t="shared" si="19"/>
        <v>0.006802721088435374</v>
      </c>
      <c r="AI52" s="685">
        <v>18</v>
      </c>
      <c r="AJ52" s="684">
        <f t="shared" si="20"/>
        <v>0.00494641384995878</v>
      </c>
      <c r="AK52" s="685">
        <v>20</v>
      </c>
      <c r="AL52" s="684">
        <f t="shared" si="21"/>
        <v>0.11049723756906077</v>
      </c>
      <c r="AM52" s="685">
        <v>41</v>
      </c>
      <c r="AN52" s="688">
        <f t="shared" si="22"/>
        <v>0.009622154423844167</v>
      </c>
      <c r="AO52" s="809">
        <v>17765.76</v>
      </c>
      <c r="AP52" s="684">
        <f t="shared" si="23"/>
        <v>0.040973557422312824</v>
      </c>
      <c r="AQ52" s="685">
        <v>19082.46</v>
      </c>
      <c r="AR52" s="684">
        <f t="shared" si="24"/>
        <v>0.0205409663885899</v>
      </c>
      <c r="AS52" s="685">
        <v>2805.54</v>
      </c>
      <c r="AT52" s="684">
        <f t="shared" si="25"/>
        <v>0.024014343176206192</v>
      </c>
      <c r="AU52" s="685">
        <f t="shared" si="14"/>
        <v>39653.76</v>
      </c>
      <c r="AV52" s="688">
        <f t="shared" si="26"/>
        <v>0.026803697880926864</v>
      </c>
      <c r="AW52" s="687">
        <v>15826.619999999999</v>
      </c>
      <c r="AX52" s="684">
        <f t="shared" si="27"/>
        <v>0.023970881291140504</v>
      </c>
      <c r="AY52" s="685">
        <v>3247.8599999999997</v>
      </c>
      <c r="AZ52" s="684">
        <f t="shared" si="28"/>
        <v>0.003812327193656916</v>
      </c>
      <c r="BA52" s="685">
        <v>454.85999999999996</v>
      </c>
      <c r="BB52" s="684">
        <f t="shared" si="29"/>
        <v>0.012373365192994137</v>
      </c>
      <c r="BC52" s="685">
        <f t="shared" si="30"/>
        <v>19529.34</v>
      </c>
      <c r="BD52" s="689">
        <f t="shared" si="31"/>
        <v>0.012608187619270995</v>
      </c>
      <c r="BF52" s="673"/>
    </row>
    <row r="53" spans="1:58" ht="11.25" customHeight="1">
      <c r="A53" s="639">
        <v>31000</v>
      </c>
      <c r="B53" s="640" t="s">
        <v>139</v>
      </c>
      <c r="C53" s="786"/>
      <c r="D53" s="721"/>
      <c r="E53" s="671"/>
      <c r="G53" s="671"/>
      <c r="H53" s="597"/>
      <c r="I53" s="671"/>
      <c r="J53" s="597"/>
      <c r="K53" s="597"/>
      <c r="L53"/>
      <c r="M53"/>
      <c r="N53"/>
      <c r="O53"/>
      <c r="P53" s="672"/>
      <c r="Y53" s="683">
        <v>1933</v>
      </c>
      <c r="Z53" s="684">
        <f t="shared" si="15"/>
        <v>0.1245810775973189</v>
      </c>
      <c r="AA53" s="685">
        <v>1077</v>
      </c>
      <c r="AB53" s="684">
        <f t="shared" si="16"/>
        <v>0.1071535170629788</v>
      </c>
      <c r="AC53" s="685">
        <v>84</v>
      </c>
      <c r="AD53" s="684">
        <f t="shared" si="17"/>
        <v>0.0260950605778192</v>
      </c>
      <c r="AE53" s="685">
        <v>3094</v>
      </c>
      <c r="AF53" s="688">
        <f t="shared" si="18"/>
        <v>0.10748280414090183</v>
      </c>
      <c r="AG53" s="809">
        <v>39</v>
      </c>
      <c r="AH53" s="684">
        <f t="shared" si="19"/>
        <v>0.08843537414965986</v>
      </c>
      <c r="AI53" s="685">
        <v>122</v>
      </c>
      <c r="AJ53" s="684">
        <f t="shared" si="20"/>
        <v>0.03352569387194284</v>
      </c>
      <c r="AK53" s="685">
        <v>14</v>
      </c>
      <c r="AL53" s="684">
        <f t="shared" si="21"/>
        <v>0.07734806629834254</v>
      </c>
      <c r="AM53" s="685">
        <v>175</v>
      </c>
      <c r="AN53" s="688">
        <f t="shared" si="22"/>
        <v>0.041070171321286084</v>
      </c>
      <c r="AO53" s="809">
        <v>2672.16</v>
      </c>
      <c r="AP53" s="684">
        <f t="shared" si="23"/>
        <v>0.006162860536312966</v>
      </c>
      <c r="AQ53" s="685">
        <v>86620.62</v>
      </c>
      <c r="AR53" s="684">
        <f t="shared" si="24"/>
        <v>0.0932411881895111</v>
      </c>
      <c r="AS53" s="685">
        <v>2575.2599999999998</v>
      </c>
      <c r="AT53" s="684">
        <f t="shared" si="25"/>
        <v>0.02204323495938634</v>
      </c>
      <c r="AU53" s="685">
        <f t="shared" si="14"/>
        <v>91868.04</v>
      </c>
      <c r="AV53" s="688">
        <f t="shared" si="26"/>
        <v>0.0620975965223198</v>
      </c>
      <c r="AW53" s="687">
        <v>34466.759999999995</v>
      </c>
      <c r="AX53" s="684">
        <f t="shared" si="27"/>
        <v>0.052203099110879635</v>
      </c>
      <c r="AY53" s="685">
        <v>58041.95999999999</v>
      </c>
      <c r="AZ53" s="684">
        <f t="shared" si="28"/>
        <v>0.06812945831444303</v>
      </c>
      <c r="BA53" s="685">
        <v>446.87999999999994</v>
      </c>
      <c r="BB53" s="684">
        <f t="shared" si="29"/>
        <v>0.012156288610660907</v>
      </c>
      <c r="BC53" s="685">
        <f t="shared" si="30"/>
        <v>92955.59999999999</v>
      </c>
      <c r="BD53" s="689">
        <f t="shared" si="31"/>
        <v>0.06001235295518982</v>
      </c>
      <c r="BF53" s="673"/>
    </row>
    <row r="54" spans="1:58" ht="11.25" customHeight="1">
      <c r="A54" s="639">
        <v>41000</v>
      </c>
      <c r="B54" s="640" t="s">
        <v>363</v>
      </c>
      <c r="C54" s="786"/>
      <c r="D54" s="721"/>
      <c r="E54" s="671"/>
      <c r="G54" s="671"/>
      <c r="H54" s="597"/>
      <c r="I54" s="671"/>
      <c r="J54" s="597"/>
      <c r="K54" s="597"/>
      <c r="L54"/>
      <c r="M54"/>
      <c r="N54"/>
      <c r="O54"/>
      <c r="P54" s="672"/>
      <c r="Y54" s="683">
        <v>823</v>
      </c>
      <c r="Z54" s="684">
        <f t="shared" si="15"/>
        <v>0.05304202113946894</v>
      </c>
      <c r="AA54" s="685">
        <v>298</v>
      </c>
      <c r="AB54" s="684">
        <f t="shared" si="16"/>
        <v>0.029648791165058204</v>
      </c>
      <c r="AC54" s="685">
        <v>68</v>
      </c>
      <c r="AD54" s="684">
        <f t="shared" si="17"/>
        <v>0.02112457284871078</v>
      </c>
      <c r="AE54" s="685">
        <v>1189</v>
      </c>
      <c r="AF54" s="688">
        <f t="shared" si="18"/>
        <v>0.041304800944903776</v>
      </c>
      <c r="AG54" s="809">
        <v>15</v>
      </c>
      <c r="AH54" s="684">
        <f t="shared" si="19"/>
        <v>0.034013605442176874</v>
      </c>
      <c r="AI54" s="685">
        <v>15</v>
      </c>
      <c r="AJ54" s="684">
        <f t="shared" si="20"/>
        <v>0.004122011541632316</v>
      </c>
      <c r="AK54" s="685">
        <v>19</v>
      </c>
      <c r="AL54" s="684">
        <f t="shared" si="21"/>
        <v>0.10497237569060773</v>
      </c>
      <c r="AM54" s="685">
        <v>49</v>
      </c>
      <c r="AN54" s="688">
        <f t="shared" si="22"/>
        <v>0.011499647969960104</v>
      </c>
      <c r="AO54" s="809">
        <v>11585.16</v>
      </c>
      <c r="AP54" s="684">
        <f t="shared" si="23"/>
        <v>0.026719105656424588</v>
      </c>
      <c r="AQ54" s="685">
        <v>66151.08</v>
      </c>
      <c r="AR54" s="684">
        <f t="shared" si="24"/>
        <v>0.07120712480722724</v>
      </c>
      <c r="AS54" s="685">
        <v>3727.08</v>
      </c>
      <c r="AT54" s="684">
        <f t="shared" si="25"/>
        <v>0.031902371081921684</v>
      </c>
      <c r="AU54" s="685">
        <f t="shared" si="14"/>
        <v>81463.32</v>
      </c>
      <c r="AV54" s="688">
        <f t="shared" si="26"/>
        <v>0.05506459457204732</v>
      </c>
      <c r="AW54" s="687">
        <v>8756.7</v>
      </c>
      <c r="AX54" s="684">
        <f t="shared" si="27"/>
        <v>0.013262832885488506</v>
      </c>
      <c r="AY54" s="685">
        <v>80721.78</v>
      </c>
      <c r="AZ54" s="684">
        <f t="shared" si="28"/>
        <v>0.09475095509485969</v>
      </c>
      <c r="BA54" s="685">
        <v>1908.42</v>
      </c>
      <c r="BB54" s="684">
        <f t="shared" si="29"/>
        <v>0.05191394627272979</v>
      </c>
      <c r="BC54" s="685">
        <f t="shared" si="30"/>
        <v>91386.9</v>
      </c>
      <c r="BD54" s="689">
        <f t="shared" si="31"/>
        <v>0.05899959656309719</v>
      </c>
      <c r="BF54" s="673"/>
    </row>
    <row r="55" spans="1:58" ht="11.25" customHeight="1">
      <c r="A55" s="639">
        <v>43000</v>
      </c>
      <c r="B55" s="640" t="s">
        <v>141</v>
      </c>
      <c r="C55" s="786"/>
      <c r="D55" s="721"/>
      <c r="E55" s="671"/>
      <c r="G55" s="671"/>
      <c r="H55" s="597"/>
      <c r="I55" s="671"/>
      <c r="J55" s="597"/>
      <c r="K55" s="597"/>
      <c r="L55"/>
      <c r="M55"/>
      <c r="N55"/>
      <c r="O55"/>
      <c r="P55" s="672"/>
      <c r="Y55" s="683">
        <v>677</v>
      </c>
      <c r="Z55" s="684">
        <f t="shared" si="15"/>
        <v>0.04363237947924723</v>
      </c>
      <c r="AA55" s="685">
        <v>129</v>
      </c>
      <c r="AB55" s="684">
        <f t="shared" si="16"/>
        <v>0.012834543826484928</v>
      </c>
      <c r="AC55" s="685">
        <v>55</v>
      </c>
      <c r="AD55" s="684">
        <f t="shared" si="17"/>
        <v>0.017086051568810188</v>
      </c>
      <c r="AE55" s="685">
        <v>861</v>
      </c>
      <c r="AF55" s="688">
        <f t="shared" si="18"/>
        <v>0.029910373098033766</v>
      </c>
      <c r="AG55" s="809">
        <v>11</v>
      </c>
      <c r="AH55" s="684">
        <f t="shared" si="19"/>
        <v>0.024943310657596373</v>
      </c>
      <c r="AI55" s="685">
        <v>6</v>
      </c>
      <c r="AJ55" s="684">
        <f t="shared" si="20"/>
        <v>0.0016488046166529267</v>
      </c>
      <c r="AK55" s="685">
        <v>14</v>
      </c>
      <c r="AL55" s="684">
        <f t="shared" si="21"/>
        <v>0.07734806629834254</v>
      </c>
      <c r="AM55" s="685">
        <v>31</v>
      </c>
      <c r="AN55" s="688">
        <f t="shared" si="22"/>
        <v>0.007275287491199249</v>
      </c>
      <c r="AO55" s="809">
        <v>15242.939999999999</v>
      </c>
      <c r="AP55" s="684">
        <f t="shared" si="23"/>
        <v>0.035155122965461034</v>
      </c>
      <c r="AQ55" s="685">
        <v>25276.079999999998</v>
      </c>
      <c r="AR55" s="684">
        <f t="shared" si="24"/>
        <v>0.027207975791135385</v>
      </c>
      <c r="AS55" s="685">
        <v>3568.2</v>
      </c>
      <c r="AT55" s="684">
        <f t="shared" si="25"/>
        <v>0.030542419399238265</v>
      </c>
      <c r="AU55" s="685">
        <f t="shared" si="14"/>
        <v>44087.219999999994</v>
      </c>
      <c r="AV55" s="688">
        <f t="shared" si="26"/>
        <v>0.02980046596564755</v>
      </c>
      <c r="AW55" s="687">
        <v>18341.46</v>
      </c>
      <c r="AX55" s="684">
        <f t="shared" si="27"/>
        <v>0.027779839306573476</v>
      </c>
      <c r="AY55" s="685">
        <v>28592.339999999997</v>
      </c>
      <c r="AZ55" s="684">
        <f t="shared" si="28"/>
        <v>0.03356159296037526</v>
      </c>
      <c r="BA55" s="685">
        <v>2334.72</v>
      </c>
      <c r="BB55" s="684">
        <f t="shared" si="29"/>
        <v>0.06351040580263657</v>
      </c>
      <c r="BC55" s="685">
        <f t="shared" si="30"/>
        <v>49268.52</v>
      </c>
      <c r="BD55" s="689">
        <f t="shared" si="31"/>
        <v>0.03180787184225403</v>
      </c>
      <c r="BF55" s="673"/>
    </row>
    <row r="56" spans="1:58" ht="11.25" customHeight="1">
      <c r="A56" s="639">
        <v>51000</v>
      </c>
      <c r="B56" s="640" t="s">
        <v>364</v>
      </c>
      <c r="C56" s="786"/>
      <c r="D56" s="721"/>
      <c r="E56" s="671"/>
      <c r="G56" s="671"/>
      <c r="H56" s="597"/>
      <c r="I56" s="671"/>
      <c r="J56" s="597"/>
      <c r="K56" s="597"/>
      <c r="L56"/>
      <c r="M56"/>
      <c r="N56"/>
      <c r="O56"/>
      <c r="P56" s="672"/>
      <c r="Y56" s="683">
        <v>84</v>
      </c>
      <c r="Z56" s="684">
        <f t="shared" si="15"/>
        <v>0.005413766434648105</v>
      </c>
      <c r="AA56" s="685">
        <v>86</v>
      </c>
      <c r="AB56" s="684">
        <f t="shared" si="16"/>
        <v>0.008556362550989951</v>
      </c>
      <c r="AC56" s="685">
        <v>23</v>
      </c>
      <c r="AD56" s="684">
        <f t="shared" si="17"/>
        <v>0.007145076110593352</v>
      </c>
      <c r="AE56" s="685">
        <v>193</v>
      </c>
      <c r="AF56" s="688">
        <f t="shared" si="18"/>
        <v>0.0067046480928229</v>
      </c>
      <c r="AG56" s="809">
        <v>12</v>
      </c>
      <c r="AH56" s="684">
        <f t="shared" si="19"/>
        <v>0.027210884353741496</v>
      </c>
      <c r="AI56" s="685">
        <v>27</v>
      </c>
      <c r="AJ56" s="684">
        <f t="shared" si="20"/>
        <v>0.00741962077493817</v>
      </c>
      <c r="AK56" s="685"/>
      <c r="AL56" s="684">
        <f t="shared" si="21"/>
        <v>0</v>
      </c>
      <c r="AM56" s="685">
        <v>39</v>
      </c>
      <c r="AN56" s="688">
        <f t="shared" si="22"/>
        <v>0.009152781037315184</v>
      </c>
      <c r="AO56" s="809">
        <v>3639.36</v>
      </c>
      <c r="AP56" s="684">
        <f t="shared" si="23"/>
        <v>0.008393534863719222</v>
      </c>
      <c r="AQ56" s="685">
        <v>10481.52</v>
      </c>
      <c r="AR56" s="684">
        <f t="shared" si="24"/>
        <v>0.011282641232908798</v>
      </c>
      <c r="AS56" s="685">
        <v>698.7</v>
      </c>
      <c r="AT56" s="684">
        <f t="shared" si="25"/>
        <v>0.0059806032269065015</v>
      </c>
      <c r="AU56" s="685">
        <f t="shared" si="14"/>
        <v>14819.580000000002</v>
      </c>
      <c r="AV56" s="688">
        <f t="shared" si="26"/>
        <v>0.010017197487507519</v>
      </c>
      <c r="AW56" s="687">
        <v>26663.82</v>
      </c>
      <c r="AX56" s="684">
        <f t="shared" si="27"/>
        <v>0.040384824048870706</v>
      </c>
      <c r="AY56" s="685">
        <v>2562.24</v>
      </c>
      <c r="AZ56" s="684">
        <f t="shared" si="28"/>
        <v>0.003007548733219873</v>
      </c>
      <c r="BA56" s="685">
        <v>0</v>
      </c>
      <c r="BB56" s="684">
        <f t="shared" si="29"/>
        <v>0</v>
      </c>
      <c r="BC56" s="685">
        <f t="shared" si="30"/>
        <v>29226.059999999998</v>
      </c>
      <c r="BD56" s="689">
        <f t="shared" si="31"/>
        <v>0.01886841274984568</v>
      </c>
      <c r="BF56" s="673"/>
    </row>
    <row r="57" spans="1:58" ht="11.25" customHeight="1">
      <c r="A57" s="639">
        <v>52000</v>
      </c>
      <c r="B57" s="640" t="s">
        <v>365</v>
      </c>
      <c r="C57" s="786"/>
      <c r="D57" s="721"/>
      <c r="E57" s="671"/>
      <c r="G57" s="671"/>
      <c r="H57" s="597"/>
      <c r="I57" s="671"/>
      <c r="J57" s="597"/>
      <c r="K57" s="597"/>
      <c r="L57"/>
      <c r="M57"/>
      <c r="N57"/>
      <c r="O57"/>
      <c r="P57" s="672"/>
      <c r="Y57" s="683">
        <v>0</v>
      </c>
      <c r="Z57" s="684">
        <f t="shared" si="15"/>
        <v>0</v>
      </c>
      <c r="AA57" s="685">
        <v>20</v>
      </c>
      <c r="AB57" s="684">
        <f t="shared" si="16"/>
        <v>0.0019898517560441747</v>
      </c>
      <c r="AC57" s="685">
        <v>5</v>
      </c>
      <c r="AD57" s="684">
        <f t="shared" si="17"/>
        <v>0.0015532774153463808</v>
      </c>
      <c r="AE57" s="685">
        <v>25</v>
      </c>
      <c r="AF57" s="688">
        <f t="shared" si="18"/>
        <v>0.0008684777322309456</v>
      </c>
      <c r="AG57" s="809">
        <v>0</v>
      </c>
      <c r="AH57" s="684">
        <f t="shared" si="19"/>
        <v>0</v>
      </c>
      <c r="AI57" s="685">
        <v>0</v>
      </c>
      <c r="AJ57" s="684">
        <f t="shared" si="20"/>
        <v>0</v>
      </c>
      <c r="AK57" s="685">
        <v>0</v>
      </c>
      <c r="AL57" s="684">
        <f t="shared" si="21"/>
        <v>0</v>
      </c>
      <c r="AM57" s="685">
        <v>0</v>
      </c>
      <c r="AN57" s="688">
        <f t="shared" si="22"/>
        <v>0</v>
      </c>
      <c r="AO57" s="809">
        <v>0</v>
      </c>
      <c r="AP57" s="684">
        <f t="shared" si="23"/>
        <v>0</v>
      </c>
      <c r="AQ57" s="685">
        <v>3760</v>
      </c>
      <c r="AR57" s="684">
        <f t="shared" si="24"/>
        <v>0.0040473834935903456</v>
      </c>
      <c r="AS57" s="685">
        <v>0</v>
      </c>
      <c r="AT57" s="684">
        <f t="shared" si="25"/>
        <v>0</v>
      </c>
      <c r="AU57" s="685">
        <f t="shared" si="14"/>
        <v>3760</v>
      </c>
      <c r="AV57" s="688">
        <f t="shared" si="26"/>
        <v>0.0025415472336617006</v>
      </c>
      <c r="AW57" s="687">
        <v>0</v>
      </c>
      <c r="AX57" s="684">
        <f t="shared" si="27"/>
        <v>0</v>
      </c>
      <c r="AY57" s="685">
        <v>3918</v>
      </c>
      <c r="AZ57" s="684">
        <f t="shared" si="28"/>
        <v>0.00459893528192342</v>
      </c>
      <c r="BA57" s="685">
        <v>0</v>
      </c>
      <c r="BB57" s="684">
        <f t="shared" si="29"/>
        <v>0</v>
      </c>
      <c r="BC57" s="685">
        <f t="shared" si="30"/>
        <v>3918</v>
      </c>
      <c r="BD57" s="689">
        <f t="shared" si="31"/>
        <v>0.0025294699714534007</v>
      </c>
      <c r="BF57" s="673"/>
    </row>
    <row r="58" spans="1:58" ht="11.25" customHeight="1">
      <c r="A58" s="639">
        <v>53000</v>
      </c>
      <c r="B58" s="640" t="s">
        <v>293</v>
      </c>
      <c r="C58" s="786"/>
      <c r="D58" s="721"/>
      <c r="E58" s="671"/>
      <c r="G58" s="671"/>
      <c r="H58" s="597"/>
      <c r="I58" s="671"/>
      <c r="J58" s="597"/>
      <c r="K58" s="597"/>
      <c r="L58"/>
      <c r="M58"/>
      <c r="N58"/>
      <c r="O58"/>
      <c r="P58" s="672"/>
      <c r="Y58" s="683">
        <v>21</v>
      </c>
      <c r="Z58" s="684">
        <f t="shared" si="15"/>
        <v>0.0013534416086620263</v>
      </c>
      <c r="AA58" s="685">
        <v>26</v>
      </c>
      <c r="AB58" s="684">
        <f t="shared" si="16"/>
        <v>0.002586807282857427</v>
      </c>
      <c r="AC58" s="685">
        <v>1</v>
      </c>
      <c r="AD58" s="684">
        <f t="shared" si="17"/>
        <v>0.00031065548306927616</v>
      </c>
      <c r="AE58" s="685">
        <v>48</v>
      </c>
      <c r="AF58" s="688">
        <f t="shared" si="18"/>
        <v>0.0016674772458834155</v>
      </c>
      <c r="AG58" s="809"/>
      <c r="AH58" s="684">
        <f t="shared" si="19"/>
        <v>0</v>
      </c>
      <c r="AI58" s="685">
        <v>27</v>
      </c>
      <c r="AJ58" s="684">
        <f t="shared" si="20"/>
        <v>0.00741962077493817</v>
      </c>
      <c r="AK58" s="685"/>
      <c r="AL58" s="684">
        <f t="shared" si="21"/>
        <v>0</v>
      </c>
      <c r="AM58" s="685">
        <v>27</v>
      </c>
      <c r="AN58" s="688">
        <f t="shared" si="22"/>
        <v>0.0063365407181412816</v>
      </c>
      <c r="AO58" s="809">
        <v>2036</v>
      </c>
      <c r="AP58" s="684">
        <f t="shared" si="23"/>
        <v>0.004695670937344022</v>
      </c>
      <c r="AQ58" s="685">
        <v>6755</v>
      </c>
      <c r="AR58" s="684">
        <f t="shared" si="24"/>
        <v>0.007271296675319889</v>
      </c>
      <c r="AS58" s="685">
        <v>0</v>
      </c>
      <c r="AT58" s="684">
        <f t="shared" si="25"/>
        <v>0</v>
      </c>
      <c r="AU58" s="685">
        <f t="shared" si="14"/>
        <v>8791</v>
      </c>
      <c r="AV58" s="688">
        <f t="shared" si="26"/>
        <v>0.005942218545510641</v>
      </c>
      <c r="AW58" s="687">
        <v>0</v>
      </c>
      <c r="AX58" s="684">
        <f t="shared" si="27"/>
        <v>0</v>
      </c>
      <c r="AY58" s="685">
        <v>10051</v>
      </c>
      <c r="AZ58" s="684">
        <f t="shared" si="28"/>
        <v>0.011797830147680525</v>
      </c>
      <c r="BA58" s="685">
        <v>0</v>
      </c>
      <c r="BB58" s="684">
        <f t="shared" si="29"/>
        <v>0</v>
      </c>
      <c r="BC58" s="685">
        <f t="shared" si="30"/>
        <v>10051</v>
      </c>
      <c r="BD58" s="689">
        <f t="shared" si="31"/>
        <v>0.006488949127891304</v>
      </c>
      <c r="BF58" s="673"/>
    </row>
    <row r="59" spans="1:58" ht="11.25" customHeight="1">
      <c r="A59" s="639">
        <v>54000</v>
      </c>
      <c r="B59" s="640" t="s">
        <v>145</v>
      </c>
      <c r="C59" s="786"/>
      <c r="D59" s="721"/>
      <c r="E59" s="671"/>
      <c r="G59" s="671"/>
      <c r="H59" s="597"/>
      <c r="I59" s="671"/>
      <c r="J59" s="597"/>
      <c r="K59" s="597"/>
      <c r="L59"/>
      <c r="M59"/>
      <c r="N59"/>
      <c r="O59"/>
      <c r="P59" s="672"/>
      <c r="Y59" s="683">
        <v>55</v>
      </c>
      <c r="Z59" s="684">
        <f t="shared" si="15"/>
        <v>0.003544728022686259</v>
      </c>
      <c r="AA59" s="685">
        <v>46</v>
      </c>
      <c r="AB59" s="684">
        <f t="shared" si="16"/>
        <v>0.004576659038901602</v>
      </c>
      <c r="AC59" s="685">
        <v>8</v>
      </c>
      <c r="AD59" s="684">
        <f t="shared" si="17"/>
        <v>0.0024852438645542093</v>
      </c>
      <c r="AE59" s="685">
        <v>109</v>
      </c>
      <c r="AF59" s="688">
        <f t="shared" si="18"/>
        <v>0.0037865629125269228</v>
      </c>
      <c r="AG59" s="809"/>
      <c r="AH59" s="684">
        <f t="shared" si="19"/>
        <v>0</v>
      </c>
      <c r="AI59" s="685">
        <v>0</v>
      </c>
      <c r="AJ59" s="684">
        <f t="shared" si="20"/>
        <v>0</v>
      </c>
      <c r="AK59" s="685">
        <v>2</v>
      </c>
      <c r="AL59" s="684">
        <f t="shared" si="21"/>
        <v>0.011049723756906077</v>
      </c>
      <c r="AM59" s="685">
        <v>2</v>
      </c>
      <c r="AN59" s="688">
        <f t="shared" si="22"/>
        <v>0.0004693733865289838</v>
      </c>
      <c r="AO59" s="809">
        <v>3443.52</v>
      </c>
      <c r="AP59" s="684">
        <f t="shared" si="23"/>
        <v>0.007941864826209668</v>
      </c>
      <c r="AQ59" s="685">
        <v>6648.360000000001</v>
      </c>
      <c r="AR59" s="684">
        <f t="shared" si="24"/>
        <v>0.007156505990278274</v>
      </c>
      <c r="AS59" s="685">
        <v>575.28</v>
      </c>
      <c r="AT59" s="684">
        <f t="shared" si="25"/>
        <v>0.004924175503613528</v>
      </c>
      <c r="AU59" s="685">
        <f t="shared" si="14"/>
        <v>10667.160000000002</v>
      </c>
      <c r="AV59" s="688">
        <f t="shared" si="26"/>
        <v>0.007210396539634774</v>
      </c>
      <c r="AW59" s="687">
        <v>2028.78</v>
      </c>
      <c r="AX59" s="684">
        <f t="shared" si="27"/>
        <v>0.0030727751437666434</v>
      </c>
      <c r="AY59" s="685">
        <v>1950.2400000000002</v>
      </c>
      <c r="AZ59" s="684">
        <f t="shared" si="28"/>
        <v>0.00228918518229156</v>
      </c>
      <c r="BA59" s="685">
        <v>403.92</v>
      </c>
      <c r="BB59" s="684">
        <f t="shared" si="29"/>
        <v>0.010987665806521111</v>
      </c>
      <c r="BC59" s="685">
        <f t="shared" si="30"/>
        <v>4382.9400000000005</v>
      </c>
      <c r="BD59" s="689">
        <f t="shared" si="31"/>
        <v>0.002829636323808568</v>
      </c>
      <c r="BF59" s="673"/>
    </row>
    <row r="60" spans="1:58" ht="11.25" customHeight="1">
      <c r="A60" s="639">
        <v>55000</v>
      </c>
      <c r="B60" s="640" t="s">
        <v>280</v>
      </c>
      <c r="C60" s="786"/>
      <c r="D60" s="721"/>
      <c r="E60" s="671"/>
      <c r="G60" s="671"/>
      <c r="H60" s="597"/>
      <c r="I60" s="671"/>
      <c r="J60" s="597"/>
      <c r="K60" s="597"/>
      <c r="L60"/>
      <c r="M60"/>
      <c r="N60"/>
      <c r="O60"/>
      <c r="P60" s="672"/>
      <c r="Y60" s="683">
        <v>39</v>
      </c>
      <c r="Z60" s="684">
        <f t="shared" si="15"/>
        <v>0.0025135344160866204</v>
      </c>
      <c r="AA60" s="685">
        <v>0</v>
      </c>
      <c r="AB60" s="684">
        <f t="shared" si="16"/>
        <v>0</v>
      </c>
      <c r="AC60" s="685">
        <v>0</v>
      </c>
      <c r="AD60" s="684">
        <f t="shared" si="17"/>
        <v>0</v>
      </c>
      <c r="AE60" s="685">
        <v>39</v>
      </c>
      <c r="AF60" s="688">
        <f t="shared" si="18"/>
        <v>0.0013548252622802752</v>
      </c>
      <c r="AG60" s="809">
        <v>0</v>
      </c>
      <c r="AH60" s="684">
        <f t="shared" si="19"/>
        <v>0</v>
      </c>
      <c r="AI60" s="685">
        <v>0</v>
      </c>
      <c r="AJ60" s="684">
        <f t="shared" si="20"/>
        <v>0</v>
      </c>
      <c r="AK60" s="685"/>
      <c r="AL60" s="684">
        <f t="shared" si="21"/>
        <v>0</v>
      </c>
      <c r="AM60" s="685">
        <v>0</v>
      </c>
      <c r="AN60" s="688">
        <f t="shared" si="22"/>
        <v>0</v>
      </c>
      <c r="AO60" s="809">
        <v>6468</v>
      </c>
      <c r="AP60" s="684">
        <f t="shared" si="23"/>
        <v>0.01491728861627757</v>
      </c>
      <c r="AQ60" s="685">
        <v>0</v>
      </c>
      <c r="AR60" s="684">
        <f t="shared" si="24"/>
        <v>0</v>
      </c>
      <c r="AS60" s="685">
        <v>0</v>
      </c>
      <c r="AT60" s="684">
        <f t="shared" si="25"/>
        <v>0</v>
      </c>
      <c r="AU60" s="685">
        <f t="shared" si="14"/>
        <v>6468</v>
      </c>
      <c r="AV60" s="688">
        <f t="shared" si="26"/>
        <v>0.004372001996628691</v>
      </c>
      <c r="AW60" s="687">
        <v>1088</v>
      </c>
      <c r="AX60" s="684">
        <f t="shared" si="27"/>
        <v>0.0016478767320350694</v>
      </c>
      <c r="AY60" s="685">
        <v>0</v>
      </c>
      <c r="AZ60" s="684">
        <f t="shared" si="28"/>
        <v>0</v>
      </c>
      <c r="BA60" s="685">
        <v>0</v>
      </c>
      <c r="BB60" s="684">
        <f t="shared" si="29"/>
        <v>0</v>
      </c>
      <c r="BC60" s="685">
        <f t="shared" si="30"/>
        <v>1088</v>
      </c>
      <c r="BD60" s="689">
        <f t="shared" si="31"/>
        <v>0.0007024153468456611</v>
      </c>
      <c r="BF60" s="673"/>
    </row>
    <row r="61" spans="1:58" ht="11.25" customHeight="1">
      <c r="A61" s="690">
        <v>56000</v>
      </c>
      <c r="B61" s="691" t="s">
        <v>147</v>
      </c>
      <c r="C61" s="786"/>
      <c r="D61" s="721"/>
      <c r="E61" s="671"/>
      <c r="G61" s="671"/>
      <c r="H61" s="597"/>
      <c r="I61" s="671"/>
      <c r="J61" s="597"/>
      <c r="K61" s="597"/>
      <c r="L61"/>
      <c r="M61"/>
      <c r="N61"/>
      <c r="O61"/>
      <c r="P61" s="672"/>
      <c r="Y61" s="692">
        <v>42</v>
      </c>
      <c r="Z61" s="693">
        <f t="shared" si="15"/>
        <v>0.0027068832173240526</v>
      </c>
      <c r="AA61" s="694">
        <v>0</v>
      </c>
      <c r="AB61" s="693">
        <f t="shared" si="16"/>
        <v>0</v>
      </c>
      <c r="AC61" s="694">
        <v>0</v>
      </c>
      <c r="AD61" s="693">
        <f t="shared" si="17"/>
        <v>0</v>
      </c>
      <c r="AE61" s="694">
        <v>42</v>
      </c>
      <c r="AF61" s="716">
        <f t="shared" si="18"/>
        <v>0.0014590425901479887</v>
      </c>
      <c r="AG61" s="810">
        <v>0</v>
      </c>
      <c r="AH61" s="693">
        <f t="shared" si="19"/>
        <v>0</v>
      </c>
      <c r="AI61" s="694">
        <v>0</v>
      </c>
      <c r="AJ61" s="693">
        <f t="shared" si="20"/>
        <v>0</v>
      </c>
      <c r="AK61" s="694"/>
      <c r="AL61" s="693">
        <f t="shared" si="21"/>
        <v>0</v>
      </c>
      <c r="AM61" s="694">
        <v>0</v>
      </c>
      <c r="AN61" s="716">
        <f>AM61/$AM$35</f>
        <v>0</v>
      </c>
      <c r="AO61" s="810">
        <v>3010.74</v>
      </c>
      <c r="AP61" s="693">
        <f t="shared" si="23"/>
        <v>0.006943734930205864</v>
      </c>
      <c r="AQ61" s="694">
        <v>0</v>
      </c>
      <c r="AR61" s="693">
        <f t="shared" si="24"/>
        <v>0</v>
      </c>
      <c r="AS61" s="694">
        <v>0</v>
      </c>
      <c r="AT61" s="693">
        <f t="shared" si="25"/>
        <v>0</v>
      </c>
      <c r="AU61" s="694">
        <f t="shared" si="14"/>
        <v>3010.74</v>
      </c>
      <c r="AV61" s="716">
        <f t="shared" si="26"/>
        <v>0.00203508987188155</v>
      </c>
      <c r="AW61" s="696">
        <v>1338.36</v>
      </c>
      <c r="AX61" s="693">
        <f t="shared" si="27"/>
        <v>0.002027070131513286</v>
      </c>
      <c r="AY61" s="694">
        <v>0</v>
      </c>
      <c r="AZ61" s="693">
        <f t="shared" si="28"/>
        <v>0</v>
      </c>
      <c r="BA61" s="694">
        <v>0</v>
      </c>
      <c r="BB61" s="693">
        <f t="shared" si="29"/>
        <v>0</v>
      </c>
      <c r="BC61" s="694">
        <f t="shared" si="30"/>
        <v>1338.36</v>
      </c>
      <c r="BD61" s="717">
        <f>BC61/$BC$35</f>
        <v>0.0008640483489010651</v>
      </c>
      <c r="BF61" s="673"/>
    </row>
    <row r="62" spans="5:58" ht="8.25" customHeight="1">
      <c r="E62" s="671"/>
      <c r="G62" s="671"/>
      <c r="H62" s="597"/>
      <c r="I62" s="671"/>
      <c r="J62" s="597"/>
      <c r="K62" s="597"/>
      <c r="L62" s="597"/>
      <c r="M62" s="597"/>
      <c r="N62" s="597"/>
      <c r="O62" s="597"/>
      <c r="P62" s="672"/>
      <c r="AE62" s="671"/>
      <c r="AF62" s="671"/>
      <c r="AG62" s="671"/>
      <c r="AH62" s="671"/>
      <c r="AI62" s="671"/>
      <c r="AJ62" s="671"/>
      <c r="AK62" s="671"/>
      <c r="AL62" s="671"/>
      <c r="AM62" s="671"/>
      <c r="AN62" s="671"/>
      <c r="AO62" s="671"/>
      <c r="AP62" s="671"/>
      <c r="AQ62" s="671"/>
      <c r="AR62" s="671"/>
      <c r="AS62" s="671"/>
      <c r="AT62" s="671"/>
      <c r="AU62" s="671"/>
      <c r="AV62" s="671"/>
      <c r="AW62" s="671"/>
      <c r="AX62" s="671"/>
      <c r="AY62" s="671"/>
      <c r="AZ62" s="671"/>
      <c r="BA62" s="671"/>
      <c r="BB62" s="671"/>
      <c r="BC62" s="671"/>
      <c r="BF62" s="673"/>
    </row>
    <row r="63" spans="1:60" ht="14.25">
      <c r="A63" s="674" t="s">
        <v>366</v>
      </c>
      <c r="B63" s="675" t="s">
        <v>354</v>
      </c>
      <c r="C63" s="788">
        <f>SUM(C64:C89)</f>
        <v>1733152.5799999998</v>
      </c>
      <c r="D63" s="787">
        <v>1.0000000000000004</v>
      </c>
      <c r="E63" s="697">
        <f aca="true" t="shared" si="32" ref="E63:J63">SUM(E64:E89)</f>
        <v>406610</v>
      </c>
      <c r="F63" s="790">
        <f t="shared" si="32"/>
        <v>1</v>
      </c>
      <c r="G63" s="697">
        <f t="shared" si="32"/>
        <v>4710472.64956</v>
      </c>
      <c r="H63" s="790">
        <f t="shared" si="32"/>
        <v>1.0000000000000002</v>
      </c>
      <c r="I63" s="697">
        <f t="shared" si="32"/>
        <v>4612928.61</v>
      </c>
      <c r="J63" s="791">
        <f t="shared" si="32"/>
        <v>1</v>
      </c>
      <c r="K63" s="597"/>
      <c r="L63" s="698">
        <f>SUM(L64:L89)</f>
        <v>1924.4000000000003</v>
      </c>
      <c r="M63" s="699">
        <f>SUM(M64:M89)</f>
        <v>3393.4859999999994</v>
      </c>
      <c r="N63" s="700">
        <f>SUM(N64:N89)</f>
        <v>9901.229</v>
      </c>
      <c r="O63" s="701">
        <f>SUM(O64:O89)</f>
        <v>1.0000000000000002</v>
      </c>
      <c r="P63" s="703">
        <f aca="true" t="shared" si="33" ref="P63:W63">SUM(P64:P89)</f>
        <v>57990.580239511335</v>
      </c>
      <c r="Q63" s="677">
        <f t="shared" si="33"/>
        <v>1.0000000000000002</v>
      </c>
      <c r="R63" s="676">
        <f t="shared" si="33"/>
        <v>33760.054010119165</v>
      </c>
      <c r="S63" s="677">
        <f t="shared" si="33"/>
        <v>1</v>
      </c>
      <c r="T63" s="676">
        <f t="shared" si="33"/>
        <v>6666.655994099813</v>
      </c>
      <c r="U63" s="677">
        <f t="shared" si="33"/>
        <v>0.9999999999999999</v>
      </c>
      <c r="V63" s="676">
        <f t="shared" si="33"/>
        <v>98417.29024373033</v>
      </c>
      <c r="W63" s="680">
        <f t="shared" si="33"/>
        <v>1.0000000000000002</v>
      </c>
      <c r="Y63" s="702">
        <f aca="true" t="shared" si="34" ref="Y63:AD63">SUM(Y64:Y89)</f>
        <v>14470</v>
      </c>
      <c r="Z63" s="677">
        <f t="shared" si="34"/>
        <v>1.0000000000000002</v>
      </c>
      <c r="AA63" s="676">
        <f t="shared" si="34"/>
        <v>9998</v>
      </c>
      <c r="AB63" s="677">
        <f t="shared" si="34"/>
        <v>1</v>
      </c>
      <c r="AC63" s="676">
        <f t="shared" si="34"/>
        <v>3112</v>
      </c>
      <c r="AD63" s="677">
        <f t="shared" si="34"/>
        <v>1</v>
      </c>
      <c r="AE63" s="676">
        <f>SUM(AE64:AE89)</f>
        <v>27580</v>
      </c>
      <c r="AF63" s="678">
        <f>SUM(AF64:AF89)</f>
        <v>1.0000000000000002</v>
      </c>
      <c r="AG63" s="703">
        <f aca="true" t="shared" si="35" ref="AG63:BD63">SUM(AG64:AG89)</f>
        <v>278</v>
      </c>
      <c r="AH63" s="677">
        <f t="shared" si="35"/>
        <v>1</v>
      </c>
      <c r="AI63" s="676">
        <f t="shared" si="35"/>
        <v>3271</v>
      </c>
      <c r="AJ63" s="677">
        <f t="shared" si="35"/>
        <v>1.0000000000000002</v>
      </c>
      <c r="AK63" s="676">
        <f t="shared" si="35"/>
        <v>157</v>
      </c>
      <c r="AL63" s="677">
        <f t="shared" si="35"/>
        <v>0.9999999999999999</v>
      </c>
      <c r="AM63" s="676">
        <f t="shared" si="35"/>
        <v>3706</v>
      </c>
      <c r="AN63" s="679">
        <f t="shared" si="35"/>
        <v>0.9999999999999999</v>
      </c>
      <c r="AO63" s="703">
        <f>SUM(AO64:AO89)</f>
        <v>372519.18</v>
      </c>
      <c r="AP63" s="677">
        <f t="shared" si="35"/>
        <v>1</v>
      </c>
      <c r="AQ63" s="676">
        <f t="shared" si="35"/>
        <v>847587.64</v>
      </c>
      <c r="AR63" s="677">
        <f t="shared" si="35"/>
        <v>1</v>
      </c>
      <c r="AS63" s="676">
        <f t="shared" si="35"/>
        <v>101365.74</v>
      </c>
      <c r="AT63" s="677">
        <f t="shared" si="35"/>
        <v>0.9999999999999999</v>
      </c>
      <c r="AU63" s="676">
        <f t="shared" si="35"/>
        <v>1321472.5599999998</v>
      </c>
      <c r="AV63" s="679">
        <f t="shared" si="35"/>
        <v>1.0000000000000004</v>
      </c>
      <c r="AW63" s="703">
        <f t="shared" si="35"/>
        <v>594379.9999999999</v>
      </c>
      <c r="AX63" s="677">
        <f t="shared" si="35"/>
        <v>1.0000000000000002</v>
      </c>
      <c r="AY63" s="676">
        <f t="shared" si="35"/>
        <v>755719.7</v>
      </c>
      <c r="AZ63" s="677">
        <f t="shared" si="35"/>
        <v>1</v>
      </c>
      <c r="BA63" s="676">
        <f t="shared" si="35"/>
        <v>28351.26</v>
      </c>
      <c r="BB63" s="677">
        <f t="shared" si="35"/>
        <v>1</v>
      </c>
      <c r="BC63" s="676">
        <f t="shared" si="35"/>
        <v>1378450.96</v>
      </c>
      <c r="BD63" s="680">
        <f t="shared" si="35"/>
        <v>0.9999999999999997</v>
      </c>
      <c r="BF63"/>
      <c r="BG63"/>
      <c r="BH63"/>
    </row>
    <row r="64" spans="1:60" ht="11.25" customHeight="1">
      <c r="A64" s="681">
        <v>11000</v>
      </c>
      <c r="B64" s="682" t="s">
        <v>355</v>
      </c>
      <c r="C64" s="786">
        <v>513337.7060000001</v>
      </c>
      <c r="D64" s="686">
        <f aca="true" t="shared" si="36" ref="D64:D89">C64/C$63</f>
        <v>0.29618725548099184</v>
      </c>
      <c r="E64" s="704">
        <v>0</v>
      </c>
      <c r="F64" s="688">
        <f aca="true" t="shared" si="37" ref="F64:F89">E64/$E$63</f>
        <v>0</v>
      </c>
      <c r="G64" s="704">
        <v>1177968.00979</v>
      </c>
      <c r="H64" s="688">
        <f>G64/$G$63</f>
        <v>0.25007427012659394</v>
      </c>
      <c r="I64" s="704">
        <v>1435111</v>
      </c>
      <c r="J64" s="689">
        <f>I64/$I$63</f>
        <v>0.31110626704452726</v>
      </c>
      <c r="K64" s="597"/>
      <c r="L64" s="706">
        <v>438.1369999999999</v>
      </c>
      <c r="M64" s="707">
        <v>788.532</v>
      </c>
      <c r="N64" s="708">
        <f aca="true" t="shared" si="38" ref="N64:N89">L64*2.5+M64*1.5</f>
        <v>2278.1404999999995</v>
      </c>
      <c r="O64" s="705">
        <f>N64/$N$63</f>
        <v>0.2300866387394938</v>
      </c>
      <c r="P64" s="687">
        <v>4847.2545389187235</v>
      </c>
      <c r="Q64" s="684">
        <f aca="true" t="shared" si="39" ref="Q64:Q89">P64/P$63</f>
        <v>0.08358692944438056</v>
      </c>
      <c r="R64" s="685">
        <v>7534.035991014459</v>
      </c>
      <c r="S64" s="684">
        <f aca="true" t="shared" si="40" ref="S64:S89">R64/R$63</f>
        <v>0.22316421616968454</v>
      </c>
      <c r="T64" s="685">
        <v>1669.6087733529014</v>
      </c>
      <c r="U64" s="684">
        <f aca="true" t="shared" si="41" ref="U64:U89">T64/T$63</f>
        <v>0.2504417169313302</v>
      </c>
      <c r="V64" s="709">
        <f>P64+R64+T64</f>
        <v>14050.899303286085</v>
      </c>
      <c r="W64" s="689">
        <f aca="true" t="shared" si="42" ref="W64:W89">V64/V$63</f>
        <v>0.14276860568391028</v>
      </c>
      <c r="Y64" s="683">
        <v>1552</v>
      </c>
      <c r="Z64" s="684">
        <f aca="true" t="shared" si="43" ref="Z64:Z89">Y64/Y$63</f>
        <v>0.10725639253628197</v>
      </c>
      <c r="AA64" s="685">
        <v>2341</v>
      </c>
      <c r="AB64" s="684">
        <f aca="true" t="shared" si="44" ref="AB64:AB89">AA64/AA$63</f>
        <v>0.23414682936587317</v>
      </c>
      <c r="AC64" s="685">
        <v>1191</v>
      </c>
      <c r="AD64" s="684">
        <f aca="true" t="shared" si="45" ref="AD64:AD89">AC64/AC$63</f>
        <v>0.3827120822622108</v>
      </c>
      <c r="AE64" s="685">
        <f>Y64+AA64+AC64</f>
        <v>5084</v>
      </c>
      <c r="AF64" s="686">
        <f aca="true" t="shared" si="46" ref="AF64:AF89">AE64/AE$63</f>
        <v>0.18433647570703407</v>
      </c>
      <c r="AG64" s="687">
        <v>95</v>
      </c>
      <c r="AH64" s="684">
        <f aca="true" t="shared" si="47" ref="AH64:AH89">AG64/AG$63</f>
        <v>0.34172661870503596</v>
      </c>
      <c r="AI64" s="685">
        <v>2108</v>
      </c>
      <c r="AJ64" s="684">
        <f aca="true" t="shared" si="48" ref="AJ64:AJ89">AI64/AI$63</f>
        <v>0.6444512381534699</v>
      </c>
      <c r="AK64" s="685">
        <v>34</v>
      </c>
      <c r="AL64" s="684">
        <f aca="true" t="shared" si="49" ref="AL64:AL89">AK64/AK$63</f>
        <v>0.21656050955414013</v>
      </c>
      <c r="AM64" s="685">
        <f>AG64+AI64+AK64</f>
        <v>2237</v>
      </c>
      <c r="AN64" s="688">
        <f aca="true" t="shared" si="50" ref="AN64:AN89">AM64/AM$63</f>
        <v>0.6036157582298974</v>
      </c>
      <c r="AO64" s="687">
        <v>28228.5</v>
      </c>
      <c r="AP64" s="684">
        <f aca="true" t="shared" si="51" ref="AP64:AP89">AO64/AO$63</f>
        <v>0.07577730628527637</v>
      </c>
      <c r="AQ64" s="685">
        <v>129096.30000000002</v>
      </c>
      <c r="AR64" s="684">
        <f aca="true" t="shared" si="52" ref="AR64:AR89">AQ64/AQ$63</f>
        <v>0.1523102672898817</v>
      </c>
      <c r="AS64" s="685">
        <v>13203.9</v>
      </c>
      <c r="AT64" s="684">
        <f aca="true" t="shared" si="53" ref="AT64:AT89">AS64/AS$63</f>
        <v>0.13025998725013008</v>
      </c>
      <c r="AU64" s="685">
        <f>AO64+AQ64+AS64</f>
        <v>170528.7</v>
      </c>
      <c r="AV64" s="688">
        <f aca="true" t="shared" si="54" ref="AV64:AV89">AU64/AU$63</f>
        <v>0.1290444502305822</v>
      </c>
      <c r="AW64" s="687">
        <v>189646.56</v>
      </c>
      <c r="AX64" s="684">
        <f aca="true" t="shared" si="55" ref="AX64:AX89">AW64/AW$63</f>
        <v>0.3190661866146237</v>
      </c>
      <c r="AY64" s="685">
        <v>144007.68</v>
      </c>
      <c r="AZ64" s="684">
        <f aca="true" t="shared" si="56" ref="AZ64:AZ89">AY64/AY$63</f>
        <v>0.190557001491426</v>
      </c>
      <c r="BA64" s="685">
        <v>13066.2</v>
      </c>
      <c r="BB64" s="684">
        <f aca="true" t="shared" si="57" ref="BB64:BB89">BA64/BA$63</f>
        <v>0.460868405848629</v>
      </c>
      <c r="BC64" s="685">
        <f>AW64+AY64+BA64</f>
        <v>346720.44</v>
      </c>
      <c r="BD64" s="689">
        <f aca="true" t="shared" si="58" ref="BD64:BD89">BC64/BC$63</f>
        <v>0.25152903517147973</v>
      </c>
      <c r="BE64" s="671"/>
      <c r="BF64"/>
      <c r="BG64"/>
      <c r="BH64"/>
    </row>
    <row r="65" spans="1:60" ht="11.25" customHeight="1">
      <c r="A65" s="639">
        <v>12000</v>
      </c>
      <c r="B65" s="640" t="s">
        <v>123</v>
      </c>
      <c r="C65" s="786">
        <v>65244.231</v>
      </c>
      <c r="D65" s="686">
        <f t="shared" si="36"/>
        <v>0.03764482813163513</v>
      </c>
      <c r="E65" s="704">
        <v>0</v>
      </c>
      <c r="F65" s="688">
        <f t="shared" si="37"/>
        <v>0</v>
      </c>
      <c r="G65" s="704">
        <v>148717.41</v>
      </c>
      <c r="H65" s="688">
        <f aca="true" t="shared" si="59" ref="H65:H89">G65/$G$63</f>
        <v>0.031571653433523604</v>
      </c>
      <c r="I65" s="704">
        <v>106852.59</v>
      </c>
      <c r="J65" s="689">
        <f aca="true" t="shared" si="60" ref="J65:J89">I65/$I$63</f>
        <v>0.023163720714940782</v>
      </c>
      <c r="K65" s="597"/>
      <c r="L65" s="706">
        <v>52.884</v>
      </c>
      <c r="M65" s="707">
        <v>97.837</v>
      </c>
      <c r="N65" s="708">
        <f t="shared" si="38"/>
        <v>278.9655</v>
      </c>
      <c r="O65" s="705">
        <f aca="true" t="shared" si="61" ref="O65:O89">N65/$N$63</f>
        <v>0.028174835669390136</v>
      </c>
      <c r="P65" s="687">
        <v>2778.44390582121</v>
      </c>
      <c r="Q65" s="684">
        <f t="shared" si="39"/>
        <v>0.04791198664241238</v>
      </c>
      <c r="R65" s="685">
        <v>1296.1547533302758</v>
      </c>
      <c r="S65" s="684">
        <f t="shared" si="40"/>
        <v>0.038393148095727844</v>
      </c>
      <c r="T65" s="685">
        <v>211.3</v>
      </c>
      <c r="U65" s="684">
        <f t="shared" si="41"/>
        <v>0.031695050740132194</v>
      </c>
      <c r="V65" s="709">
        <f aca="true" t="shared" si="62" ref="V65:V89">P65+R65+T65</f>
        <v>4285.898659151486</v>
      </c>
      <c r="W65" s="689">
        <f t="shared" si="42"/>
        <v>0.043548228655122104</v>
      </c>
      <c r="Y65" s="683">
        <v>153</v>
      </c>
      <c r="Z65" s="684">
        <f t="shared" si="43"/>
        <v>0.010573600552868002</v>
      </c>
      <c r="AA65" s="685">
        <v>29</v>
      </c>
      <c r="AB65" s="684">
        <f t="shared" si="44"/>
        <v>0.0029005801160232048</v>
      </c>
      <c r="AC65" s="685">
        <v>76</v>
      </c>
      <c r="AD65" s="684">
        <f t="shared" si="45"/>
        <v>0.02442159383033419</v>
      </c>
      <c r="AE65" s="685">
        <f aca="true" t="shared" si="63" ref="AE65:AE89">Y65+AA65+AC65</f>
        <v>258</v>
      </c>
      <c r="AF65" s="686">
        <f t="shared" si="46"/>
        <v>0.009354604786076868</v>
      </c>
      <c r="AG65" s="687"/>
      <c r="AH65" s="684">
        <f t="shared" si="47"/>
        <v>0</v>
      </c>
      <c r="AI65" s="685">
        <v>0</v>
      </c>
      <c r="AJ65" s="684">
        <f t="shared" si="48"/>
        <v>0</v>
      </c>
      <c r="AK65" s="685"/>
      <c r="AL65" s="684">
        <f t="shared" si="49"/>
        <v>0</v>
      </c>
      <c r="AM65" s="685">
        <f aca="true" t="shared" si="64" ref="AM65:AM89">AG65+AI65+AK65</f>
        <v>0</v>
      </c>
      <c r="AN65" s="688">
        <f t="shared" si="50"/>
        <v>0</v>
      </c>
      <c r="AO65" s="687">
        <v>13648.62</v>
      </c>
      <c r="AP65" s="684">
        <f t="shared" si="51"/>
        <v>0.03663870407961276</v>
      </c>
      <c r="AQ65" s="685">
        <v>11309.76</v>
      </c>
      <c r="AR65" s="684">
        <f t="shared" si="52"/>
        <v>0.013343469708925911</v>
      </c>
      <c r="AS65" s="685">
        <v>1234.2</v>
      </c>
      <c r="AT65" s="684">
        <f t="shared" si="53"/>
        <v>0.012175711438598484</v>
      </c>
      <c r="AU65" s="685">
        <f aca="true" t="shared" si="65" ref="AU65:AU89">AO65+AQ65+AS65</f>
        <v>26192.58</v>
      </c>
      <c r="AV65" s="688">
        <f t="shared" si="54"/>
        <v>0.01982075208583976</v>
      </c>
      <c r="AW65" s="687">
        <v>6199.56</v>
      </c>
      <c r="AX65" s="684">
        <f t="shared" si="55"/>
        <v>0.010430297116322894</v>
      </c>
      <c r="AY65" s="685">
        <v>3439.44</v>
      </c>
      <c r="AZ65" s="684">
        <f t="shared" si="56"/>
        <v>0.004551211249356078</v>
      </c>
      <c r="BA65" s="685">
        <v>1150.56</v>
      </c>
      <c r="BB65" s="684">
        <f t="shared" si="57"/>
        <v>0.04058232332531252</v>
      </c>
      <c r="BC65" s="685">
        <f aca="true" t="shared" si="66" ref="BC65:BC89">AW65+AY65+BA65</f>
        <v>10789.56</v>
      </c>
      <c r="BD65" s="689">
        <f t="shared" si="58"/>
        <v>0.007827307835456113</v>
      </c>
      <c r="BE65" s="671"/>
      <c r="BF65"/>
      <c r="BG65"/>
      <c r="BH65"/>
    </row>
    <row r="66" spans="1:60" ht="11.25" customHeight="1">
      <c r="A66" s="639">
        <v>13000</v>
      </c>
      <c r="B66" s="640" t="s">
        <v>356</v>
      </c>
      <c r="C66" s="786">
        <v>13999.444</v>
      </c>
      <c r="D66" s="686">
        <f t="shared" si="36"/>
        <v>0.008077444629831726</v>
      </c>
      <c r="E66" s="704">
        <v>20743</v>
      </c>
      <c r="F66" s="688">
        <f t="shared" si="37"/>
        <v>0.05101448562504611</v>
      </c>
      <c r="G66" s="704">
        <v>28306</v>
      </c>
      <c r="H66" s="688">
        <f t="shared" si="59"/>
        <v>0.006009163433449515</v>
      </c>
      <c r="I66" s="704">
        <v>51386</v>
      </c>
      <c r="J66" s="689">
        <f t="shared" si="60"/>
        <v>0.011139561078097845</v>
      </c>
      <c r="K66" s="597"/>
      <c r="L66" s="706">
        <v>37.713</v>
      </c>
      <c r="M66" s="707">
        <v>83.88</v>
      </c>
      <c r="N66" s="708">
        <f t="shared" si="38"/>
        <v>220.1025</v>
      </c>
      <c r="O66" s="705">
        <f t="shared" si="61"/>
        <v>0.02222981611676692</v>
      </c>
      <c r="P66" s="687">
        <v>1880.6787267076054</v>
      </c>
      <c r="Q66" s="684">
        <f t="shared" si="39"/>
        <v>0.03243076235726682</v>
      </c>
      <c r="R66" s="685">
        <v>833.816886957718</v>
      </c>
      <c r="S66" s="684">
        <f t="shared" si="40"/>
        <v>0.02469832799164929</v>
      </c>
      <c r="T66" s="685">
        <v>22.7</v>
      </c>
      <c r="U66" s="684">
        <f t="shared" si="41"/>
        <v>0.003405005451022247</v>
      </c>
      <c r="V66" s="709">
        <f t="shared" si="62"/>
        <v>2737.1956136653234</v>
      </c>
      <c r="W66" s="689">
        <f t="shared" si="42"/>
        <v>0.027812141615428155</v>
      </c>
      <c r="Y66" s="683">
        <v>194</v>
      </c>
      <c r="Z66" s="684">
        <f t="shared" si="43"/>
        <v>0.013407049067035246</v>
      </c>
      <c r="AA66" s="685">
        <v>30</v>
      </c>
      <c r="AB66" s="684">
        <f t="shared" si="44"/>
        <v>0.0030006001200240046</v>
      </c>
      <c r="AC66" s="685">
        <v>7</v>
      </c>
      <c r="AD66" s="684">
        <f t="shared" si="45"/>
        <v>0.002249357326478149</v>
      </c>
      <c r="AE66" s="685">
        <f t="shared" si="63"/>
        <v>231</v>
      </c>
      <c r="AF66" s="686">
        <f t="shared" si="46"/>
        <v>0.008375634517766498</v>
      </c>
      <c r="AG66" s="687"/>
      <c r="AH66" s="684">
        <f t="shared" si="47"/>
        <v>0</v>
      </c>
      <c r="AI66" s="685">
        <v>7</v>
      </c>
      <c r="AJ66" s="684">
        <f t="shared" si="48"/>
        <v>0.0021400183430143687</v>
      </c>
      <c r="AK66" s="685"/>
      <c r="AL66" s="684">
        <f t="shared" si="49"/>
        <v>0</v>
      </c>
      <c r="AM66" s="685">
        <f t="shared" si="64"/>
        <v>7</v>
      </c>
      <c r="AN66" s="688">
        <f t="shared" si="50"/>
        <v>0.0018888289260658392</v>
      </c>
      <c r="AO66" s="687">
        <v>26457.78</v>
      </c>
      <c r="AP66" s="684">
        <f t="shared" si="51"/>
        <v>0.07102394029751703</v>
      </c>
      <c r="AQ66" s="685">
        <v>16710.66</v>
      </c>
      <c r="AR66" s="684">
        <f t="shared" si="52"/>
        <v>0.01971555413431937</v>
      </c>
      <c r="AS66" s="685">
        <v>0</v>
      </c>
      <c r="AT66" s="684">
        <f t="shared" si="53"/>
        <v>0</v>
      </c>
      <c r="AU66" s="685">
        <f t="shared" si="65"/>
        <v>43168.44</v>
      </c>
      <c r="AV66" s="688">
        <f t="shared" si="54"/>
        <v>0.03266692121098603</v>
      </c>
      <c r="AW66" s="687">
        <v>13928.1</v>
      </c>
      <c r="AX66" s="684">
        <f t="shared" si="55"/>
        <v>0.023432988996937992</v>
      </c>
      <c r="AY66" s="685">
        <v>5112.24</v>
      </c>
      <c r="AZ66" s="684">
        <f t="shared" si="56"/>
        <v>0.006764730362328784</v>
      </c>
      <c r="BA66" s="685">
        <v>0</v>
      </c>
      <c r="BB66" s="684">
        <f t="shared" si="57"/>
        <v>0</v>
      </c>
      <c r="BC66" s="685">
        <f t="shared" si="66"/>
        <v>19040.34</v>
      </c>
      <c r="BD66" s="689">
        <f t="shared" si="58"/>
        <v>0.013812852653096922</v>
      </c>
      <c r="BE66" s="671"/>
      <c r="BF66"/>
      <c r="BG66"/>
      <c r="BH66"/>
    </row>
    <row r="67" spans="1:60" ht="11.25" customHeight="1">
      <c r="A67" s="639">
        <v>14000</v>
      </c>
      <c r="B67" s="640" t="s">
        <v>125</v>
      </c>
      <c r="C67" s="786">
        <v>197255.59399999998</v>
      </c>
      <c r="D67" s="686">
        <f t="shared" si="36"/>
        <v>0.11381317275597282</v>
      </c>
      <c r="E67" s="704">
        <v>0</v>
      </c>
      <c r="F67" s="688">
        <f t="shared" si="37"/>
        <v>0</v>
      </c>
      <c r="G67" s="704">
        <v>611985</v>
      </c>
      <c r="H67" s="688">
        <f t="shared" si="59"/>
        <v>0.1299200835094892</v>
      </c>
      <c r="I67" s="704">
        <v>441123.56</v>
      </c>
      <c r="J67" s="689">
        <f t="shared" si="60"/>
        <v>0.09562765810936752</v>
      </c>
      <c r="K67" s="597"/>
      <c r="L67" s="706">
        <v>197.685</v>
      </c>
      <c r="M67" s="707">
        <v>300.661</v>
      </c>
      <c r="N67" s="708">
        <f t="shared" si="38"/>
        <v>945.204</v>
      </c>
      <c r="O67" s="705">
        <f t="shared" si="61"/>
        <v>0.09546330056602065</v>
      </c>
      <c r="P67" s="687">
        <v>4778.866394431713</v>
      </c>
      <c r="Q67" s="684">
        <f t="shared" si="39"/>
        <v>0.08240763197564417</v>
      </c>
      <c r="R67" s="685">
        <v>3806.993717570846</v>
      </c>
      <c r="S67" s="684">
        <f t="shared" si="40"/>
        <v>0.11276622118050363</v>
      </c>
      <c r="T67" s="685">
        <v>728.0547678132248</v>
      </c>
      <c r="U67" s="684">
        <f t="shared" si="41"/>
        <v>0.1092083900020602</v>
      </c>
      <c r="V67" s="709">
        <f t="shared" si="62"/>
        <v>9313.914879815784</v>
      </c>
      <c r="W67" s="689">
        <f t="shared" si="42"/>
        <v>0.09463697747367239</v>
      </c>
      <c r="Y67" s="683">
        <v>3023</v>
      </c>
      <c r="Z67" s="684">
        <f t="shared" si="43"/>
        <v>0.208914996544575</v>
      </c>
      <c r="AA67" s="685">
        <v>2573</v>
      </c>
      <c r="AB67" s="684">
        <f t="shared" si="44"/>
        <v>0.2573514702940588</v>
      </c>
      <c r="AC67" s="685">
        <v>518</v>
      </c>
      <c r="AD67" s="684">
        <f t="shared" si="45"/>
        <v>0.16645244215938304</v>
      </c>
      <c r="AE67" s="685">
        <f t="shared" si="63"/>
        <v>6114</v>
      </c>
      <c r="AF67" s="686">
        <f t="shared" si="46"/>
        <v>0.22168237853517042</v>
      </c>
      <c r="AG67" s="687"/>
      <c r="AH67" s="684">
        <f t="shared" si="47"/>
        <v>0</v>
      </c>
      <c r="AI67" s="685">
        <v>486</v>
      </c>
      <c r="AJ67" s="684">
        <f t="shared" si="48"/>
        <v>0.14857841638642616</v>
      </c>
      <c r="AK67" s="685">
        <v>12</v>
      </c>
      <c r="AL67" s="684">
        <f t="shared" si="49"/>
        <v>0.07643312101910828</v>
      </c>
      <c r="AM67" s="685">
        <f t="shared" si="64"/>
        <v>498</v>
      </c>
      <c r="AN67" s="688">
        <f t="shared" si="50"/>
        <v>0.13437668645439826</v>
      </c>
      <c r="AO67" s="687">
        <v>68824.07999999999</v>
      </c>
      <c r="AP67" s="684">
        <f t="shared" si="51"/>
        <v>0.18475311794683966</v>
      </c>
      <c r="AQ67" s="685">
        <v>164820.06</v>
      </c>
      <c r="AR67" s="684">
        <f t="shared" si="52"/>
        <v>0.19445783801188984</v>
      </c>
      <c r="AS67" s="685">
        <v>24244.379999999997</v>
      </c>
      <c r="AT67" s="684">
        <f t="shared" si="53"/>
        <v>0.23917726048268376</v>
      </c>
      <c r="AU67" s="685">
        <f t="shared" si="65"/>
        <v>257888.52</v>
      </c>
      <c r="AV67" s="688">
        <f t="shared" si="54"/>
        <v>0.19515238364086804</v>
      </c>
      <c r="AW67" s="687">
        <v>1516.1999999999998</v>
      </c>
      <c r="AX67" s="684">
        <f t="shared" si="55"/>
        <v>0.002550893367879135</v>
      </c>
      <c r="AY67" s="685">
        <v>215160.18</v>
      </c>
      <c r="AZ67" s="684">
        <f t="shared" si="56"/>
        <v>0.28470897344610707</v>
      </c>
      <c r="BA67" s="685">
        <v>391.02</v>
      </c>
      <c r="BB67" s="684">
        <f t="shared" si="57"/>
        <v>0.013791979615720783</v>
      </c>
      <c r="BC67" s="685">
        <f t="shared" si="66"/>
        <v>217067.4</v>
      </c>
      <c r="BD67" s="689">
        <f t="shared" si="58"/>
        <v>0.15747197854612108</v>
      </c>
      <c r="BE67" s="671"/>
      <c r="BF67"/>
      <c r="BG67"/>
      <c r="BH67"/>
    </row>
    <row r="68" spans="1:60" ht="11.25" customHeight="1">
      <c r="A68" s="639">
        <v>15000</v>
      </c>
      <c r="B68" s="640" t="s">
        <v>357</v>
      </c>
      <c r="C68" s="786">
        <v>122834.705</v>
      </c>
      <c r="D68" s="686">
        <f t="shared" si="36"/>
        <v>0.07087356671159328</v>
      </c>
      <c r="E68" s="704">
        <v>0</v>
      </c>
      <c r="F68" s="688">
        <f t="shared" si="37"/>
        <v>0</v>
      </c>
      <c r="G68" s="704">
        <v>272785</v>
      </c>
      <c r="H68" s="688">
        <f t="shared" si="59"/>
        <v>0.05791032456700084</v>
      </c>
      <c r="I68" s="704">
        <v>284753</v>
      </c>
      <c r="J68" s="689">
        <f t="shared" si="60"/>
        <v>0.06172933164036111</v>
      </c>
      <c r="K68" s="597"/>
      <c r="L68" s="706">
        <v>114.04700000000001</v>
      </c>
      <c r="M68" s="707">
        <v>196.761</v>
      </c>
      <c r="N68" s="708">
        <f t="shared" si="38"/>
        <v>580.259</v>
      </c>
      <c r="O68" s="705">
        <f t="shared" si="61"/>
        <v>0.05860474492610968</v>
      </c>
      <c r="P68" s="687">
        <v>3381.498611357301</v>
      </c>
      <c r="Q68" s="684">
        <f t="shared" si="39"/>
        <v>0.05831117049339935</v>
      </c>
      <c r="R68" s="685">
        <v>2699.9145898194615</v>
      </c>
      <c r="S68" s="684">
        <f t="shared" si="40"/>
        <v>0.07997364545122454</v>
      </c>
      <c r="T68" s="685">
        <v>430.6994521726624</v>
      </c>
      <c r="U68" s="684">
        <f t="shared" si="41"/>
        <v>0.06460502125111062</v>
      </c>
      <c r="V68" s="709">
        <f t="shared" si="62"/>
        <v>6512.112653349424</v>
      </c>
      <c r="W68" s="689">
        <f t="shared" si="42"/>
        <v>0.066168379938344</v>
      </c>
      <c r="Y68" s="683">
        <v>339</v>
      </c>
      <c r="Z68" s="684">
        <f t="shared" si="43"/>
        <v>0.023427781617138908</v>
      </c>
      <c r="AA68" s="685">
        <v>602</v>
      </c>
      <c r="AB68" s="684">
        <f t="shared" si="44"/>
        <v>0.06021204240848169</v>
      </c>
      <c r="AC68" s="685">
        <v>165</v>
      </c>
      <c r="AD68" s="684">
        <f t="shared" si="45"/>
        <v>0.053020565552699225</v>
      </c>
      <c r="AE68" s="685">
        <f t="shared" si="63"/>
        <v>1106</v>
      </c>
      <c r="AF68" s="686">
        <f t="shared" si="46"/>
        <v>0.04010152284263959</v>
      </c>
      <c r="AG68" s="687"/>
      <c r="AH68" s="684">
        <f t="shared" si="47"/>
        <v>0</v>
      </c>
      <c r="AI68" s="685">
        <v>280</v>
      </c>
      <c r="AJ68" s="684">
        <f t="shared" si="48"/>
        <v>0.08560073372057475</v>
      </c>
      <c r="AK68" s="685">
        <v>13</v>
      </c>
      <c r="AL68" s="684">
        <f t="shared" si="49"/>
        <v>0.08280254777070063</v>
      </c>
      <c r="AM68" s="685">
        <f t="shared" si="64"/>
        <v>293</v>
      </c>
      <c r="AN68" s="688">
        <f t="shared" si="50"/>
        <v>0.07906098219104156</v>
      </c>
      <c r="AO68" s="687">
        <v>39189.42</v>
      </c>
      <c r="AP68" s="684">
        <f t="shared" si="51"/>
        <v>0.10520107984775441</v>
      </c>
      <c r="AQ68" s="685">
        <v>46500.78</v>
      </c>
      <c r="AR68" s="684">
        <f t="shared" si="52"/>
        <v>0.0548625036580288</v>
      </c>
      <c r="AS68" s="685">
        <v>5519.22</v>
      </c>
      <c r="AT68" s="684">
        <f t="shared" si="53"/>
        <v>0.05444857404484</v>
      </c>
      <c r="AU68" s="685">
        <f t="shared" si="65"/>
        <v>91209.42</v>
      </c>
      <c r="AV68" s="688">
        <f t="shared" si="54"/>
        <v>0.0690210472474737</v>
      </c>
      <c r="AW68" s="687">
        <v>25402.08</v>
      </c>
      <c r="AX68" s="684">
        <f t="shared" si="55"/>
        <v>0.04273710420942832</v>
      </c>
      <c r="AY68" s="685">
        <v>29881.920000000002</v>
      </c>
      <c r="AZ68" s="684">
        <f t="shared" si="56"/>
        <v>0.03954100971563928</v>
      </c>
      <c r="BA68" s="685">
        <v>1119.96</v>
      </c>
      <c r="BB68" s="684">
        <f t="shared" si="57"/>
        <v>0.03950300621559677</v>
      </c>
      <c r="BC68" s="685">
        <f t="shared" si="66"/>
        <v>56403.96</v>
      </c>
      <c r="BD68" s="689">
        <f t="shared" si="58"/>
        <v>0.04091836535120553</v>
      </c>
      <c r="BE68" s="671"/>
      <c r="BF68"/>
      <c r="BG68"/>
      <c r="BH68"/>
    </row>
    <row r="69" spans="1:60" ht="11.25" customHeight="1">
      <c r="A69" s="639">
        <v>16000</v>
      </c>
      <c r="B69" s="640" t="s">
        <v>265</v>
      </c>
      <c r="C69" s="786">
        <v>18838.336000000003</v>
      </c>
      <c r="D69" s="686">
        <f t="shared" si="36"/>
        <v>0.010869404239065902</v>
      </c>
      <c r="E69" s="704">
        <v>0</v>
      </c>
      <c r="F69" s="688">
        <f t="shared" si="37"/>
        <v>0</v>
      </c>
      <c r="G69" s="704">
        <v>33384</v>
      </c>
      <c r="H69" s="688">
        <f t="shared" si="59"/>
        <v>0.0070871868883727335</v>
      </c>
      <c r="I69" s="704">
        <v>76949</v>
      </c>
      <c r="J69" s="689">
        <f t="shared" si="60"/>
        <v>0.016681159954044896</v>
      </c>
      <c r="K69" s="597"/>
      <c r="L69" s="706">
        <v>33.836999999999996</v>
      </c>
      <c r="M69" s="707">
        <v>41.549</v>
      </c>
      <c r="N69" s="708">
        <f t="shared" si="38"/>
        <v>146.916</v>
      </c>
      <c r="O69" s="705">
        <f t="shared" si="61"/>
        <v>0.01483815797008634</v>
      </c>
      <c r="P69" s="687">
        <v>274.9448304383788</v>
      </c>
      <c r="Q69" s="684">
        <f t="shared" si="39"/>
        <v>0.0047411981273994515</v>
      </c>
      <c r="R69" s="685">
        <v>1280.1573043722587</v>
      </c>
      <c r="S69" s="684">
        <f t="shared" si="40"/>
        <v>0.037919290768567704</v>
      </c>
      <c r="T69" s="685">
        <v>189.9375</v>
      </c>
      <c r="U69" s="684">
        <f t="shared" si="41"/>
        <v>0.028490670610288017</v>
      </c>
      <c r="V69" s="709">
        <f t="shared" si="62"/>
        <v>1745.0396348106376</v>
      </c>
      <c r="W69" s="689">
        <f t="shared" si="42"/>
        <v>0.017731027043002796</v>
      </c>
      <c r="Y69" s="683">
        <v>22</v>
      </c>
      <c r="Z69" s="684">
        <f t="shared" si="43"/>
        <v>0.0015203870076019351</v>
      </c>
      <c r="AA69" s="685">
        <v>371</v>
      </c>
      <c r="AB69" s="684">
        <f t="shared" si="44"/>
        <v>0.03710742148429686</v>
      </c>
      <c r="AC69" s="685">
        <v>33</v>
      </c>
      <c r="AD69" s="684">
        <f t="shared" si="45"/>
        <v>0.010604113110539846</v>
      </c>
      <c r="AE69" s="685">
        <f t="shared" si="63"/>
        <v>426</v>
      </c>
      <c r="AF69" s="686">
        <f t="shared" si="46"/>
        <v>0.015445975344452502</v>
      </c>
      <c r="AG69" s="687"/>
      <c r="AH69" s="684">
        <f t="shared" si="47"/>
        <v>0</v>
      </c>
      <c r="AI69" s="685">
        <v>205</v>
      </c>
      <c r="AJ69" s="684">
        <f t="shared" si="48"/>
        <v>0.06267196575970652</v>
      </c>
      <c r="AK69" s="685"/>
      <c r="AL69" s="684">
        <f t="shared" si="49"/>
        <v>0</v>
      </c>
      <c r="AM69" s="685">
        <f t="shared" si="64"/>
        <v>205</v>
      </c>
      <c r="AN69" s="688">
        <f t="shared" si="50"/>
        <v>0.05531570426335672</v>
      </c>
      <c r="AO69" s="687">
        <v>0</v>
      </c>
      <c r="AP69" s="684">
        <f t="shared" si="51"/>
        <v>0</v>
      </c>
      <c r="AQ69" s="685">
        <v>7175.7</v>
      </c>
      <c r="AR69" s="684">
        <f t="shared" si="52"/>
        <v>0.008466027182746553</v>
      </c>
      <c r="AS69" s="685">
        <v>954.72</v>
      </c>
      <c r="AT69" s="684">
        <f t="shared" si="53"/>
        <v>0.009418566864899324</v>
      </c>
      <c r="AU69" s="685">
        <f t="shared" si="65"/>
        <v>8130.42</v>
      </c>
      <c r="AV69" s="688">
        <f t="shared" si="54"/>
        <v>0.006152545460346147</v>
      </c>
      <c r="AW69" s="687">
        <v>0</v>
      </c>
      <c r="AX69" s="684">
        <f t="shared" si="55"/>
        <v>0</v>
      </c>
      <c r="AY69" s="685">
        <v>9469.68</v>
      </c>
      <c r="AZ69" s="684">
        <f t="shared" si="56"/>
        <v>0.012530677710267446</v>
      </c>
      <c r="BA69" s="685">
        <v>36.72</v>
      </c>
      <c r="BB69" s="684">
        <f t="shared" si="57"/>
        <v>0.0012951805316589104</v>
      </c>
      <c r="BC69" s="685">
        <f t="shared" si="66"/>
        <v>9506.4</v>
      </c>
      <c r="BD69" s="689">
        <f t="shared" si="58"/>
        <v>0.006896436852566739</v>
      </c>
      <c r="BE69" s="671"/>
      <c r="BF69"/>
      <c r="BG69"/>
      <c r="BH69"/>
    </row>
    <row r="70" spans="1:60" ht="11.25" customHeight="1">
      <c r="A70" s="639">
        <v>17000</v>
      </c>
      <c r="B70" s="640" t="s">
        <v>128</v>
      </c>
      <c r="C70" s="786">
        <v>23416.608</v>
      </c>
      <c r="D70" s="686">
        <f t="shared" si="36"/>
        <v>0.013510990474941337</v>
      </c>
      <c r="E70" s="704">
        <v>28477</v>
      </c>
      <c r="F70" s="688">
        <f t="shared" si="37"/>
        <v>0.0700351688350016</v>
      </c>
      <c r="G70" s="704">
        <v>37564</v>
      </c>
      <c r="H70" s="688">
        <f t="shared" si="59"/>
        <v>0.007974571299869199</v>
      </c>
      <c r="I70" s="704">
        <v>52637.33</v>
      </c>
      <c r="J70" s="689">
        <f t="shared" si="60"/>
        <v>0.011410826928015259</v>
      </c>
      <c r="K70" s="597"/>
      <c r="L70" s="706">
        <v>32.965</v>
      </c>
      <c r="M70" s="707">
        <v>91.51</v>
      </c>
      <c r="N70" s="708">
        <f t="shared" si="38"/>
        <v>219.6775</v>
      </c>
      <c r="O70" s="705">
        <f t="shared" si="61"/>
        <v>0.022186892152479255</v>
      </c>
      <c r="P70" s="687">
        <v>2184.820572215014</v>
      </c>
      <c r="Q70" s="684">
        <f t="shared" si="39"/>
        <v>0.037675439065988296</v>
      </c>
      <c r="R70" s="685">
        <v>886.805059125371</v>
      </c>
      <c r="S70" s="684">
        <f t="shared" si="40"/>
        <v>0.026267880343424865</v>
      </c>
      <c r="T70" s="685">
        <v>62.916690047941515</v>
      </c>
      <c r="U70" s="684">
        <f t="shared" si="41"/>
        <v>0.00943751861557348</v>
      </c>
      <c r="V70" s="709">
        <f t="shared" si="62"/>
        <v>3134.5423213883264</v>
      </c>
      <c r="W70" s="689">
        <f t="shared" si="42"/>
        <v>0.03184950849211186</v>
      </c>
      <c r="Y70" s="683">
        <v>189</v>
      </c>
      <c r="Z70" s="684">
        <f t="shared" si="43"/>
        <v>0.013061506565307532</v>
      </c>
      <c r="AA70" s="685">
        <v>101</v>
      </c>
      <c r="AB70" s="684">
        <f t="shared" si="44"/>
        <v>0.010102020404080815</v>
      </c>
      <c r="AC70" s="685">
        <v>30</v>
      </c>
      <c r="AD70" s="684">
        <f t="shared" si="45"/>
        <v>0.009640102827763496</v>
      </c>
      <c r="AE70" s="685">
        <f t="shared" si="63"/>
        <v>320</v>
      </c>
      <c r="AF70" s="686">
        <f t="shared" si="46"/>
        <v>0.011602610587382161</v>
      </c>
      <c r="AG70" s="687">
        <v>54</v>
      </c>
      <c r="AH70" s="684">
        <f t="shared" si="47"/>
        <v>0.19424460431654678</v>
      </c>
      <c r="AI70" s="685">
        <v>0</v>
      </c>
      <c r="AJ70" s="684">
        <f t="shared" si="48"/>
        <v>0</v>
      </c>
      <c r="AK70" s="685">
        <v>1</v>
      </c>
      <c r="AL70" s="684">
        <f t="shared" si="49"/>
        <v>0.006369426751592357</v>
      </c>
      <c r="AM70" s="685">
        <f t="shared" si="64"/>
        <v>55</v>
      </c>
      <c r="AN70" s="688">
        <f t="shared" si="50"/>
        <v>0.014840798704803022</v>
      </c>
      <c r="AO70" s="687">
        <v>16226.759999999998</v>
      </c>
      <c r="AP70" s="684">
        <f t="shared" si="51"/>
        <v>0.043559528934859135</v>
      </c>
      <c r="AQ70" s="685">
        <v>19999.019999999997</v>
      </c>
      <c r="AR70" s="684">
        <f t="shared" si="52"/>
        <v>0.023595223734031796</v>
      </c>
      <c r="AS70" s="685">
        <v>2199.06</v>
      </c>
      <c r="AT70" s="684">
        <f t="shared" si="53"/>
        <v>0.021694312101899517</v>
      </c>
      <c r="AU70" s="685">
        <f t="shared" si="65"/>
        <v>38424.84</v>
      </c>
      <c r="AV70" s="688">
        <f t="shared" si="54"/>
        <v>0.02907728935362835</v>
      </c>
      <c r="AW70" s="687">
        <v>23692.62</v>
      </c>
      <c r="AX70" s="684">
        <f t="shared" si="55"/>
        <v>0.03986106531175343</v>
      </c>
      <c r="AY70" s="685">
        <v>2855.7</v>
      </c>
      <c r="AZ70" s="684">
        <f t="shared" si="56"/>
        <v>0.0037787820007867995</v>
      </c>
      <c r="BA70" s="685">
        <v>156.17999999999998</v>
      </c>
      <c r="BB70" s="684">
        <f t="shared" si="57"/>
        <v>0.005508749875666901</v>
      </c>
      <c r="BC70" s="685">
        <f t="shared" si="66"/>
        <v>26704.5</v>
      </c>
      <c r="BD70" s="689">
        <f t="shared" si="58"/>
        <v>0.019372832820980443</v>
      </c>
      <c r="BE70" s="671"/>
      <c r="BF70"/>
      <c r="BG70"/>
      <c r="BH70"/>
    </row>
    <row r="71" spans="1:60" ht="11.25" customHeight="1">
      <c r="A71" s="639">
        <v>18000</v>
      </c>
      <c r="B71" s="640" t="s">
        <v>129</v>
      </c>
      <c r="C71" s="786">
        <v>10505.586</v>
      </c>
      <c r="D71" s="686">
        <f t="shared" si="36"/>
        <v>0.006061547102794608</v>
      </c>
      <c r="E71" s="704">
        <v>0</v>
      </c>
      <c r="F71" s="688">
        <f t="shared" si="37"/>
        <v>0</v>
      </c>
      <c r="G71" s="704">
        <v>16053</v>
      </c>
      <c r="H71" s="688">
        <f t="shared" si="59"/>
        <v>0.003407938267404969</v>
      </c>
      <c r="I71" s="704">
        <v>43073</v>
      </c>
      <c r="J71" s="689">
        <f t="shared" si="60"/>
        <v>0.009337452113745155</v>
      </c>
      <c r="K71" s="597"/>
      <c r="L71" s="706">
        <v>32.084</v>
      </c>
      <c r="M71" s="707">
        <v>63.565999999999995</v>
      </c>
      <c r="N71" s="708">
        <f t="shared" si="38"/>
        <v>175.559</v>
      </c>
      <c r="O71" s="705">
        <f t="shared" si="61"/>
        <v>0.01773103116794895</v>
      </c>
      <c r="P71" s="687">
        <v>1527.3733357677527</v>
      </c>
      <c r="Q71" s="684">
        <f t="shared" si="39"/>
        <v>0.02633830062502274</v>
      </c>
      <c r="R71" s="685">
        <v>846.8280088859955</v>
      </c>
      <c r="S71" s="684">
        <f t="shared" si="40"/>
        <v>0.025083727906127434</v>
      </c>
      <c r="T71" s="685">
        <v>20.295055282555282</v>
      </c>
      <c r="U71" s="684">
        <f t="shared" si="41"/>
        <v>0.0030442631658986158</v>
      </c>
      <c r="V71" s="709">
        <f t="shared" si="62"/>
        <v>2394.4963999363035</v>
      </c>
      <c r="W71" s="689">
        <f t="shared" si="42"/>
        <v>0.024330037882635616</v>
      </c>
      <c r="Y71" s="683">
        <v>78</v>
      </c>
      <c r="Z71" s="684">
        <f t="shared" si="43"/>
        <v>0.005390463026952315</v>
      </c>
      <c r="AA71" s="685">
        <v>17</v>
      </c>
      <c r="AB71" s="684">
        <f t="shared" si="44"/>
        <v>0.0017003400680136026</v>
      </c>
      <c r="AC71" s="685">
        <v>8</v>
      </c>
      <c r="AD71" s="684">
        <f t="shared" si="45"/>
        <v>0.002570694087403599</v>
      </c>
      <c r="AE71" s="685">
        <f t="shared" si="63"/>
        <v>103</v>
      </c>
      <c r="AF71" s="686">
        <f t="shared" si="46"/>
        <v>0.003734590282813633</v>
      </c>
      <c r="AG71" s="687">
        <v>18</v>
      </c>
      <c r="AH71" s="684">
        <f t="shared" si="47"/>
        <v>0.06474820143884892</v>
      </c>
      <c r="AI71" s="685">
        <v>4</v>
      </c>
      <c r="AJ71" s="684">
        <f t="shared" si="48"/>
        <v>0.0012228676245796392</v>
      </c>
      <c r="AK71" s="685"/>
      <c r="AL71" s="684">
        <f t="shared" si="49"/>
        <v>0</v>
      </c>
      <c r="AM71" s="685">
        <f t="shared" si="64"/>
        <v>22</v>
      </c>
      <c r="AN71" s="688">
        <f t="shared" si="50"/>
        <v>0.0059363194819212085</v>
      </c>
      <c r="AO71" s="687">
        <v>18402.84</v>
      </c>
      <c r="AP71" s="684">
        <f t="shared" si="51"/>
        <v>0.049401053658498874</v>
      </c>
      <c r="AQ71" s="685">
        <v>11350.56</v>
      </c>
      <c r="AR71" s="684">
        <f t="shared" si="52"/>
        <v>0.013391606324037476</v>
      </c>
      <c r="AS71" s="685">
        <v>0</v>
      </c>
      <c r="AT71" s="684">
        <f t="shared" si="53"/>
        <v>0</v>
      </c>
      <c r="AU71" s="685">
        <f t="shared" si="65"/>
        <v>29753.4</v>
      </c>
      <c r="AV71" s="688">
        <f t="shared" si="54"/>
        <v>0.022515336981344513</v>
      </c>
      <c r="AW71" s="687">
        <v>4423.74</v>
      </c>
      <c r="AX71" s="684">
        <f t="shared" si="55"/>
        <v>0.0074426124701369506</v>
      </c>
      <c r="AY71" s="685">
        <v>7348.08</v>
      </c>
      <c r="AZ71" s="684">
        <f t="shared" si="56"/>
        <v>0.009723287615765476</v>
      </c>
      <c r="BA71" s="685">
        <v>0</v>
      </c>
      <c r="BB71" s="684">
        <f t="shared" si="57"/>
        <v>0</v>
      </c>
      <c r="BC71" s="685">
        <f t="shared" si="66"/>
        <v>11771.82</v>
      </c>
      <c r="BD71" s="689">
        <f t="shared" si="58"/>
        <v>0.008539890312818963</v>
      </c>
      <c r="BE71" s="671"/>
      <c r="BF71"/>
      <c r="BG71"/>
      <c r="BH71"/>
    </row>
    <row r="72" spans="1:60" ht="11.25" customHeight="1">
      <c r="A72" s="639">
        <v>19000</v>
      </c>
      <c r="B72" s="640" t="s">
        <v>130</v>
      </c>
      <c r="C72" s="786">
        <v>12795.597999999998</v>
      </c>
      <c r="D72" s="686">
        <f t="shared" si="36"/>
        <v>0.0073828456580551025</v>
      </c>
      <c r="E72" s="704">
        <v>7832</v>
      </c>
      <c r="F72" s="688">
        <f t="shared" si="37"/>
        <v>0.01926170040087553</v>
      </c>
      <c r="G72" s="704">
        <v>15850.3</v>
      </c>
      <c r="H72" s="688">
        <f t="shared" si="59"/>
        <v>0.0033649064922350327</v>
      </c>
      <c r="I72" s="704">
        <v>48918</v>
      </c>
      <c r="J72" s="689">
        <f t="shared" si="60"/>
        <v>0.010604543043210027</v>
      </c>
      <c r="K72" s="597"/>
      <c r="L72" s="706">
        <v>16.086</v>
      </c>
      <c r="M72" s="707">
        <v>44.069</v>
      </c>
      <c r="N72" s="708">
        <f t="shared" si="38"/>
        <v>106.3185</v>
      </c>
      <c r="O72" s="705">
        <f t="shared" si="61"/>
        <v>0.010737909404983969</v>
      </c>
      <c r="P72" s="687">
        <v>1844.2634262504805</v>
      </c>
      <c r="Q72" s="684">
        <f t="shared" si="39"/>
        <v>0.031802810363913366</v>
      </c>
      <c r="R72" s="685">
        <v>329.75641196214065</v>
      </c>
      <c r="S72" s="684">
        <f t="shared" si="40"/>
        <v>0.009767650604566573</v>
      </c>
      <c r="T72" s="685">
        <v>19.993468279668853</v>
      </c>
      <c r="U72" s="684">
        <f t="shared" si="41"/>
        <v>0.002999025043044618</v>
      </c>
      <c r="V72" s="709">
        <f t="shared" si="62"/>
        <v>2194.0133064922898</v>
      </c>
      <c r="W72" s="689">
        <f t="shared" si="42"/>
        <v>0.02229296601297209</v>
      </c>
      <c r="Y72" s="683">
        <v>376</v>
      </c>
      <c r="Z72" s="684">
        <f t="shared" si="43"/>
        <v>0.025984796129923982</v>
      </c>
      <c r="AA72" s="685">
        <v>128</v>
      </c>
      <c r="AB72" s="684">
        <f t="shared" si="44"/>
        <v>0.01280256051210242</v>
      </c>
      <c r="AC72" s="685">
        <v>26</v>
      </c>
      <c r="AD72" s="684">
        <f t="shared" si="45"/>
        <v>0.008354755784061696</v>
      </c>
      <c r="AE72" s="685">
        <f t="shared" si="63"/>
        <v>530</v>
      </c>
      <c r="AF72" s="686">
        <f t="shared" si="46"/>
        <v>0.019216823785351705</v>
      </c>
      <c r="AG72" s="687"/>
      <c r="AH72" s="684">
        <f t="shared" si="47"/>
        <v>0</v>
      </c>
      <c r="AI72" s="685">
        <v>0</v>
      </c>
      <c r="AJ72" s="684">
        <f t="shared" si="48"/>
        <v>0</v>
      </c>
      <c r="AK72" s="685"/>
      <c r="AL72" s="684">
        <f t="shared" si="49"/>
        <v>0</v>
      </c>
      <c r="AM72" s="685">
        <f t="shared" si="64"/>
        <v>0</v>
      </c>
      <c r="AN72" s="688">
        <f t="shared" si="50"/>
        <v>0</v>
      </c>
      <c r="AO72" s="687">
        <v>8764.86</v>
      </c>
      <c r="AP72" s="684">
        <f t="shared" si="51"/>
        <v>0.023528614016599093</v>
      </c>
      <c r="AQ72" s="685">
        <v>7132.860000000001</v>
      </c>
      <c r="AR72" s="684">
        <f t="shared" si="52"/>
        <v>0.008415483736879411</v>
      </c>
      <c r="AS72" s="685">
        <v>484.5</v>
      </c>
      <c r="AT72" s="684">
        <f t="shared" si="53"/>
        <v>0.004779721432507669</v>
      </c>
      <c r="AU72" s="685">
        <f t="shared" si="65"/>
        <v>16382.220000000001</v>
      </c>
      <c r="AV72" s="688">
        <f t="shared" si="54"/>
        <v>0.012396942998195893</v>
      </c>
      <c r="AW72" s="687">
        <v>4412.52</v>
      </c>
      <c r="AX72" s="684">
        <f t="shared" si="55"/>
        <v>0.0074237356573236</v>
      </c>
      <c r="AY72" s="685">
        <v>602.82</v>
      </c>
      <c r="AZ72" s="684">
        <f t="shared" si="56"/>
        <v>0.0007976767047358963</v>
      </c>
      <c r="BA72" s="685">
        <v>0</v>
      </c>
      <c r="BB72" s="684">
        <f t="shared" si="57"/>
        <v>0</v>
      </c>
      <c r="BC72" s="685">
        <f t="shared" si="66"/>
        <v>5015.34</v>
      </c>
      <c r="BD72" s="689">
        <f t="shared" si="58"/>
        <v>0.003638388412453933</v>
      </c>
      <c r="BE72" s="671"/>
      <c r="BF72"/>
      <c r="BG72"/>
      <c r="BH72"/>
    </row>
    <row r="73" spans="1:60" ht="11.25" customHeight="1">
      <c r="A73" s="639">
        <v>21000</v>
      </c>
      <c r="B73" s="640" t="s">
        <v>131</v>
      </c>
      <c r="C73" s="786">
        <v>211795.955</v>
      </c>
      <c r="D73" s="686">
        <f t="shared" si="36"/>
        <v>0.12220271743183743</v>
      </c>
      <c r="E73" s="704">
        <v>12106</v>
      </c>
      <c r="F73" s="688">
        <f t="shared" si="37"/>
        <v>0.029773001155898773</v>
      </c>
      <c r="G73" s="704">
        <v>700925</v>
      </c>
      <c r="H73" s="688">
        <f t="shared" si="59"/>
        <v>0.14880141593975132</v>
      </c>
      <c r="I73" s="704">
        <v>555280.85</v>
      </c>
      <c r="J73" s="689">
        <f t="shared" si="60"/>
        <v>0.12037490647400241</v>
      </c>
      <c r="K73" s="597"/>
      <c r="L73" s="706">
        <v>191.35399999999998</v>
      </c>
      <c r="M73" s="707">
        <v>309.241</v>
      </c>
      <c r="N73" s="708">
        <f t="shared" si="38"/>
        <v>942.2465</v>
      </c>
      <c r="O73" s="705">
        <f t="shared" si="61"/>
        <v>0.09516460027336</v>
      </c>
      <c r="P73" s="687">
        <v>4138.693049711591</v>
      </c>
      <c r="Q73" s="684">
        <f t="shared" si="39"/>
        <v>0.07136836763174395</v>
      </c>
      <c r="R73" s="685">
        <v>1844.6496451996886</v>
      </c>
      <c r="S73" s="684">
        <f t="shared" si="40"/>
        <v>0.05464000871108729</v>
      </c>
      <c r="T73" s="685">
        <v>573.6546672166413</v>
      </c>
      <c r="U73" s="684">
        <f t="shared" si="41"/>
        <v>0.08604833783599193</v>
      </c>
      <c r="V73" s="709">
        <f t="shared" si="62"/>
        <v>6556.997362127921</v>
      </c>
      <c r="W73" s="689">
        <f t="shared" si="42"/>
        <v>0.06662444521576974</v>
      </c>
      <c r="Y73" s="683">
        <v>1399</v>
      </c>
      <c r="Z73" s="684">
        <f t="shared" si="43"/>
        <v>0.09668279198341397</v>
      </c>
      <c r="AA73" s="685">
        <v>509</v>
      </c>
      <c r="AB73" s="684">
        <f t="shared" si="44"/>
        <v>0.05091018203640728</v>
      </c>
      <c r="AC73" s="685">
        <v>217</v>
      </c>
      <c r="AD73" s="684">
        <f t="shared" si="45"/>
        <v>0.06973007712082262</v>
      </c>
      <c r="AE73" s="685">
        <f t="shared" si="63"/>
        <v>2125</v>
      </c>
      <c r="AF73" s="686">
        <f t="shared" si="46"/>
        <v>0.07704858593183467</v>
      </c>
      <c r="AG73" s="687">
        <v>47</v>
      </c>
      <c r="AH73" s="684">
        <f t="shared" si="47"/>
        <v>0.16906474820143885</v>
      </c>
      <c r="AI73" s="685">
        <v>69</v>
      </c>
      <c r="AJ73" s="684">
        <f t="shared" si="48"/>
        <v>0.021094466523998778</v>
      </c>
      <c r="AK73" s="685">
        <v>8</v>
      </c>
      <c r="AL73" s="684">
        <f t="shared" si="49"/>
        <v>0.050955414012738856</v>
      </c>
      <c r="AM73" s="685">
        <f t="shared" si="64"/>
        <v>124</v>
      </c>
      <c r="AN73" s="688">
        <f t="shared" si="50"/>
        <v>0.03345925526173772</v>
      </c>
      <c r="AO73" s="687">
        <v>10542.72</v>
      </c>
      <c r="AP73" s="684">
        <f t="shared" si="51"/>
        <v>0.028301146802696173</v>
      </c>
      <c r="AQ73" s="685">
        <v>63655.14</v>
      </c>
      <c r="AR73" s="684">
        <f t="shared" si="52"/>
        <v>0.07510154348168645</v>
      </c>
      <c r="AS73" s="685">
        <v>5245.86</v>
      </c>
      <c r="AT73" s="684">
        <f t="shared" si="53"/>
        <v>0.051751804899761986</v>
      </c>
      <c r="AU73" s="685">
        <f t="shared" si="65"/>
        <v>79443.72</v>
      </c>
      <c r="AV73" s="688">
        <f t="shared" si="54"/>
        <v>0.06011757065920462</v>
      </c>
      <c r="AW73" s="687">
        <v>59085.54</v>
      </c>
      <c r="AX73" s="684">
        <f t="shared" si="55"/>
        <v>0.09940701234900234</v>
      </c>
      <c r="AY73" s="685">
        <v>94753.92</v>
      </c>
      <c r="AZ73" s="684">
        <f t="shared" si="56"/>
        <v>0.1253823606821418</v>
      </c>
      <c r="BA73" s="685">
        <v>3205.86</v>
      </c>
      <c r="BB73" s="684">
        <f t="shared" si="57"/>
        <v>0.11307645586122099</v>
      </c>
      <c r="BC73" s="685">
        <f t="shared" si="66"/>
        <v>157045.31999999998</v>
      </c>
      <c r="BD73" s="689">
        <f t="shared" si="58"/>
        <v>0.11392884081998825</v>
      </c>
      <c r="BE73" s="671"/>
      <c r="BF73"/>
      <c r="BG73"/>
      <c r="BH73"/>
    </row>
    <row r="74" spans="1:60" ht="11.25" customHeight="1">
      <c r="A74" s="639">
        <v>22000</v>
      </c>
      <c r="B74" s="640" t="s">
        <v>270</v>
      </c>
      <c r="C74" s="786">
        <v>79556.48700000001</v>
      </c>
      <c r="D74" s="686">
        <f t="shared" si="36"/>
        <v>0.04590276004435802</v>
      </c>
      <c r="E74" s="704">
        <v>0</v>
      </c>
      <c r="F74" s="688">
        <f t="shared" si="37"/>
        <v>0</v>
      </c>
      <c r="G74" s="704">
        <v>215200.12977</v>
      </c>
      <c r="H74" s="688">
        <f t="shared" si="59"/>
        <v>0.045685464236821675</v>
      </c>
      <c r="I74" s="704">
        <v>124193</v>
      </c>
      <c r="J74" s="689">
        <f t="shared" si="60"/>
        <v>0.026922809889312376</v>
      </c>
      <c r="K74" s="597"/>
      <c r="L74" s="706">
        <v>65.005</v>
      </c>
      <c r="M74" s="707">
        <v>102.204</v>
      </c>
      <c r="N74" s="708">
        <f t="shared" si="38"/>
        <v>315.8185</v>
      </c>
      <c r="O74" s="705">
        <f t="shared" si="61"/>
        <v>0.031896898859727414</v>
      </c>
      <c r="P74" s="687">
        <v>782.5139735677667</v>
      </c>
      <c r="Q74" s="684">
        <f t="shared" si="39"/>
        <v>0.0134938117593555</v>
      </c>
      <c r="R74" s="685">
        <v>386.5520860032929</v>
      </c>
      <c r="S74" s="684">
        <f t="shared" si="40"/>
        <v>0.01144998422951067</v>
      </c>
      <c r="T74" s="685">
        <v>322.70004598066345</v>
      </c>
      <c r="U74" s="684">
        <f t="shared" si="41"/>
        <v>0.04840508438807439</v>
      </c>
      <c r="V74" s="709">
        <f t="shared" si="62"/>
        <v>1491.766105551723</v>
      </c>
      <c r="W74" s="689">
        <f t="shared" si="42"/>
        <v>0.015157561256333777</v>
      </c>
      <c r="Y74" s="683">
        <v>259</v>
      </c>
      <c r="Z74" s="684">
        <f t="shared" si="43"/>
        <v>0.01789910158949551</v>
      </c>
      <c r="AA74" s="685">
        <v>73</v>
      </c>
      <c r="AB74" s="684">
        <f t="shared" si="44"/>
        <v>0.007301460292058411</v>
      </c>
      <c r="AC74" s="685">
        <v>65</v>
      </c>
      <c r="AD74" s="684">
        <f t="shared" si="45"/>
        <v>0.020886889460154243</v>
      </c>
      <c r="AE74" s="685">
        <f t="shared" si="63"/>
        <v>397</v>
      </c>
      <c r="AF74" s="686">
        <f t="shared" si="46"/>
        <v>0.014394488759970993</v>
      </c>
      <c r="AG74" s="687">
        <v>7</v>
      </c>
      <c r="AH74" s="684">
        <f t="shared" si="47"/>
        <v>0.025179856115107913</v>
      </c>
      <c r="AI74" s="685">
        <v>27</v>
      </c>
      <c r="AJ74" s="684">
        <f t="shared" si="48"/>
        <v>0.008254356465912565</v>
      </c>
      <c r="AK74" s="685">
        <v>7</v>
      </c>
      <c r="AL74" s="684">
        <f t="shared" si="49"/>
        <v>0.044585987261146494</v>
      </c>
      <c r="AM74" s="685">
        <f t="shared" si="64"/>
        <v>41</v>
      </c>
      <c r="AN74" s="688">
        <f t="shared" si="50"/>
        <v>0.011063140852671344</v>
      </c>
      <c r="AO74" s="687">
        <v>346.8</v>
      </c>
      <c r="AP74" s="684">
        <f t="shared" si="51"/>
        <v>0.0009309587764044794</v>
      </c>
      <c r="AQ74" s="685">
        <v>7916.22</v>
      </c>
      <c r="AR74" s="684">
        <f t="shared" si="52"/>
        <v>0.009339706747021465</v>
      </c>
      <c r="AS74" s="685">
        <v>2731.56</v>
      </c>
      <c r="AT74" s="684">
        <f t="shared" si="53"/>
        <v>0.026947566307906397</v>
      </c>
      <c r="AU74" s="685">
        <f t="shared" si="65"/>
        <v>10994.58</v>
      </c>
      <c r="AV74" s="688">
        <f t="shared" si="54"/>
        <v>0.008319945742952091</v>
      </c>
      <c r="AW74" s="687">
        <v>4824.6</v>
      </c>
      <c r="AX74" s="684">
        <f t="shared" si="55"/>
        <v>0.008117029509741245</v>
      </c>
      <c r="AY74" s="685">
        <v>16973.82</v>
      </c>
      <c r="AZ74" s="684">
        <f t="shared" si="56"/>
        <v>0.02246047046279196</v>
      </c>
      <c r="BA74" s="685">
        <v>381.48</v>
      </c>
      <c r="BB74" s="684">
        <f t="shared" si="57"/>
        <v>0.013455486634456459</v>
      </c>
      <c r="BC74" s="685">
        <f t="shared" si="66"/>
        <v>22179.899999999998</v>
      </c>
      <c r="BD74" s="689">
        <f t="shared" si="58"/>
        <v>0.016090452720929585</v>
      </c>
      <c r="BE74" s="671"/>
      <c r="BF74"/>
      <c r="BG74"/>
      <c r="BH74"/>
    </row>
    <row r="75" spans="1:60" ht="11.25" customHeight="1">
      <c r="A75" s="639">
        <v>23000</v>
      </c>
      <c r="B75" s="640" t="s">
        <v>358</v>
      </c>
      <c r="C75" s="786">
        <v>62430.498</v>
      </c>
      <c r="D75" s="686">
        <f t="shared" si="36"/>
        <v>0.03602135133422587</v>
      </c>
      <c r="E75" s="704">
        <v>27733</v>
      </c>
      <c r="F75" s="688">
        <f t="shared" si="37"/>
        <v>0.06820540567128207</v>
      </c>
      <c r="G75" s="704">
        <v>206947</v>
      </c>
      <c r="H75" s="688">
        <f t="shared" si="59"/>
        <v>0.04393338320716727</v>
      </c>
      <c r="I75" s="704">
        <v>123783.69999999998</v>
      </c>
      <c r="J75" s="689">
        <f t="shared" si="60"/>
        <v>0.026834081006946252</v>
      </c>
      <c r="K75" s="597"/>
      <c r="L75" s="706">
        <v>60.702000000000005</v>
      </c>
      <c r="M75" s="707">
        <v>120.19</v>
      </c>
      <c r="N75" s="708">
        <f t="shared" si="38"/>
        <v>332.04</v>
      </c>
      <c r="O75" s="705">
        <f t="shared" si="61"/>
        <v>0.03353523082841534</v>
      </c>
      <c r="P75" s="687">
        <v>3106.527172195326</v>
      </c>
      <c r="Q75" s="684">
        <f t="shared" si="39"/>
        <v>0.05356951352038245</v>
      </c>
      <c r="R75" s="685">
        <v>1357.291353186304</v>
      </c>
      <c r="S75" s="684">
        <f t="shared" si="40"/>
        <v>0.04020406344075967</v>
      </c>
      <c r="T75" s="685">
        <v>175.8375</v>
      </c>
      <c r="U75" s="684">
        <f t="shared" si="41"/>
        <v>0.026375667224410766</v>
      </c>
      <c r="V75" s="709">
        <f t="shared" si="62"/>
        <v>4639.65602538163</v>
      </c>
      <c r="W75" s="689">
        <f t="shared" si="42"/>
        <v>0.0471426922433195</v>
      </c>
      <c r="Y75" s="683">
        <v>257</v>
      </c>
      <c r="Z75" s="684">
        <f t="shared" si="43"/>
        <v>0.017760884588804423</v>
      </c>
      <c r="AA75" s="685">
        <v>87</v>
      </c>
      <c r="AB75" s="684">
        <f t="shared" si="44"/>
        <v>0.008701740348069614</v>
      </c>
      <c r="AC75" s="685">
        <v>26</v>
      </c>
      <c r="AD75" s="684">
        <f t="shared" si="45"/>
        <v>0.008354755784061696</v>
      </c>
      <c r="AE75" s="685">
        <f t="shared" si="63"/>
        <v>370</v>
      </c>
      <c r="AF75" s="686">
        <f t="shared" si="46"/>
        <v>0.013415518491660623</v>
      </c>
      <c r="AG75" s="687"/>
      <c r="AH75" s="684">
        <f t="shared" si="47"/>
        <v>0</v>
      </c>
      <c r="AI75" s="685">
        <v>0</v>
      </c>
      <c r="AJ75" s="684">
        <f t="shared" si="48"/>
        <v>0</v>
      </c>
      <c r="AK75" s="685"/>
      <c r="AL75" s="684">
        <f t="shared" si="49"/>
        <v>0</v>
      </c>
      <c r="AM75" s="685">
        <f t="shared" si="64"/>
        <v>0</v>
      </c>
      <c r="AN75" s="688">
        <f t="shared" si="50"/>
        <v>0</v>
      </c>
      <c r="AO75" s="687">
        <v>18876.12</v>
      </c>
      <c r="AP75" s="684">
        <f t="shared" si="51"/>
        <v>0.05067153857688616</v>
      </c>
      <c r="AQ75" s="685">
        <v>35439.17999999999</v>
      </c>
      <c r="AR75" s="684">
        <f t="shared" si="52"/>
        <v>0.041811817831604994</v>
      </c>
      <c r="AS75" s="685">
        <v>4602.179999999999</v>
      </c>
      <c r="AT75" s="684">
        <f t="shared" si="53"/>
        <v>0.045401730407137554</v>
      </c>
      <c r="AU75" s="685">
        <f t="shared" si="65"/>
        <v>58917.47999999999</v>
      </c>
      <c r="AV75" s="688">
        <f t="shared" si="54"/>
        <v>0.04458471691610456</v>
      </c>
      <c r="AW75" s="687">
        <v>25977.179999999997</v>
      </c>
      <c r="AX75" s="684">
        <f t="shared" si="55"/>
        <v>0.04370466704801643</v>
      </c>
      <c r="AY75" s="685">
        <v>4833.599999999999</v>
      </c>
      <c r="AZ75" s="684">
        <f t="shared" si="56"/>
        <v>0.006396022228876658</v>
      </c>
      <c r="BA75" s="685">
        <v>0</v>
      </c>
      <c r="BB75" s="684">
        <f t="shared" si="57"/>
        <v>0</v>
      </c>
      <c r="BC75" s="685">
        <f t="shared" si="66"/>
        <v>30810.779999999995</v>
      </c>
      <c r="BD75" s="689">
        <f t="shared" si="58"/>
        <v>0.022351741842161724</v>
      </c>
      <c r="BE75" s="671"/>
      <c r="BF75"/>
      <c r="BG75"/>
      <c r="BH75"/>
    </row>
    <row r="76" spans="1:60" ht="11.25" customHeight="1">
      <c r="A76" s="639">
        <v>24000</v>
      </c>
      <c r="B76" s="640" t="s">
        <v>134</v>
      </c>
      <c r="C76" s="786">
        <v>25652.963</v>
      </c>
      <c r="D76" s="686">
        <f t="shared" si="36"/>
        <v>0.014801329840215224</v>
      </c>
      <c r="E76" s="704">
        <v>12527</v>
      </c>
      <c r="F76" s="688">
        <f t="shared" si="37"/>
        <v>0.030808391333218565</v>
      </c>
      <c r="G76" s="704">
        <v>155490</v>
      </c>
      <c r="H76" s="688">
        <f t="shared" si="59"/>
        <v>0.03300942635014008</v>
      </c>
      <c r="I76" s="704">
        <v>157712</v>
      </c>
      <c r="J76" s="689">
        <f t="shared" si="60"/>
        <v>0.034189126547093905</v>
      </c>
      <c r="K76" s="597"/>
      <c r="L76" s="706">
        <v>48.301</v>
      </c>
      <c r="M76" s="707">
        <v>94.16</v>
      </c>
      <c r="N76" s="708">
        <f t="shared" si="38"/>
        <v>261.9925</v>
      </c>
      <c r="O76" s="705">
        <f t="shared" si="61"/>
        <v>0.026460604032085312</v>
      </c>
      <c r="P76" s="687">
        <v>1725.726636981481</v>
      </c>
      <c r="Q76" s="684">
        <f t="shared" si="39"/>
        <v>0.029758740641220097</v>
      </c>
      <c r="R76" s="685">
        <v>569.7927272822601</v>
      </c>
      <c r="S76" s="684">
        <f t="shared" si="40"/>
        <v>0.016877719659792952</v>
      </c>
      <c r="T76" s="685">
        <v>60.49946790858941</v>
      </c>
      <c r="U76" s="684">
        <f t="shared" si="41"/>
        <v>0.009074934714215525</v>
      </c>
      <c r="V76" s="709">
        <f t="shared" si="62"/>
        <v>2356.018832172331</v>
      </c>
      <c r="W76" s="689">
        <f t="shared" si="42"/>
        <v>0.023939074387616773</v>
      </c>
      <c r="Y76" s="683">
        <v>301</v>
      </c>
      <c r="Z76" s="684">
        <f t="shared" si="43"/>
        <v>0.020801658604008292</v>
      </c>
      <c r="AA76" s="685">
        <v>124</v>
      </c>
      <c r="AB76" s="684">
        <f t="shared" si="44"/>
        <v>0.01240248049609922</v>
      </c>
      <c r="AC76" s="685">
        <v>42</v>
      </c>
      <c r="AD76" s="684">
        <f t="shared" si="45"/>
        <v>0.013496143958868894</v>
      </c>
      <c r="AE76" s="685">
        <f t="shared" si="63"/>
        <v>467</v>
      </c>
      <c r="AF76" s="686">
        <f t="shared" si="46"/>
        <v>0.01693255982596084</v>
      </c>
      <c r="AG76" s="687">
        <v>3</v>
      </c>
      <c r="AH76" s="684">
        <f t="shared" si="47"/>
        <v>0.01079136690647482</v>
      </c>
      <c r="AI76" s="685">
        <v>1</v>
      </c>
      <c r="AJ76" s="684">
        <f t="shared" si="48"/>
        <v>0.0003057169061449098</v>
      </c>
      <c r="AK76" s="685">
        <v>1</v>
      </c>
      <c r="AL76" s="684">
        <f t="shared" si="49"/>
        <v>0.006369426751592357</v>
      </c>
      <c r="AM76" s="685">
        <f t="shared" si="64"/>
        <v>5</v>
      </c>
      <c r="AN76" s="688">
        <f t="shared" si="50"/>
        <v>0.0013491635186184566</v>
      </c>
      <c r="AO76" s="687">
        <v>15380.88</v>
      </c>
      <c r="AP76" s="684">
        <f t="shared" si="51"/>
        <v>0.041288827061199906</v>
      </c>
      <c r="AQ76" s="685">
        <v>13502.159999999998</v>
      </c>
      <c r="AR76" s="684">
        <f t="shared" si="52"/>
        <v>0.015930104879773845</v>
      </c>
      <c r="AS76" s="685">
        <v>6287.099999999999</v>
      </c>
      <c r="AT76" s="684">
        <f t="shared" si="53"/>
        <v>0.062023914588893635</v>
      </c>
      <c r="AU76" s="685">
        <f t="shared" si="65"/>
        <v>35170.14</v>
      </c>
      <c r="AV76" s="688">
        <f t="shared" si="54"/>
        <v>0.026614355125164312</v>
      </c>
      <c r="AW76" s="687">
        <v>13128.24</v>
      </c>
      <c r="AX76" s="684">
        <f t="shared" si="55"/>
        <v>0.02208728422894445</v>
      </c>
      <c r="AY76" s="685">
        <v>5433.24</v>
      </c>
      <c r="AZ76" s="684">
        <f t="shared" si="56"/>
        <v>0.0071894910242514525</v>
      </c>
      <c r="BA76" s="685">
        <v>1236.8999999999999</v>
      </c>
      <c r="BB76" s="684">
        <f t="shared" si="57"/>
        <v>0.043627690621157574</v>
      </c>
      <c r="BC76" s="685">
        <f t="shared" si="66"/>
        <v>19798.38</v>
      </c>
      <c r="BD76" s="689">
        <f t="shared" si="58"/>
        <v>0.014362774283968725</v>
      </c>
      <c r="BE76" s="671"/>
      <c r="BF76"/>
      <c r="BG76"/>
      <c r="BH76"/>
    </row>
    <row r="77" spans="1:60" ht="11.25" customHeight="1">
      <c r="A77" s="639">
        <v>25000</v>
      </c>
      <c r="B77" s="640" t="s">
        <v>359</v>
      </c>
      <c r="C77" s="786">
        <v>56924.87499999999</v>
      </c>
      <c r="D77" s="686">
        <f t="shared" si="36"/>
        <v>0.03284469910894977</v>
      </c>
      <c r="E77" s="704">
        <v>807</v>
      </c>
      <c r="F77" s="688">
        <f t="shared" si="37"/>
        <v>0.00198470278645385</v>
      </c>
      <c r="G77" s="704">
        <v>91923</v>
      </c>
      <c r="H77" s="688">
        <f t="shared" si="59"/>
        <v>0.019514602214830062</v>
      </c>
      <c r="I77" s="704">
        <v>71697</v>
      </c>
      <c r="J77" s="689">
        <f t="shared" si="60"/>
        <v>0.015542620764729329</v>
      </c>
      <c r="K77" s="597"/>
      <c r="L77" s="706">
        <v>51.063</v>
      </c>
      <c r="M77" s="707">
        <v>94.693</v>
      </c>
      <c r="N77" s="708">
        <f t="shared" si="38"/>
        <v>269.697</v>
      </c>
      <c r="O77" s="705">
        <f t="shared" si="61"/>
        <v>0.02723873975644842</v>
      </c>
      <c r="P77" s="687">
        <v>2055.4872171399456</v>
      </c>
      <c r="Q77" s="684">
        <f t="shared" si="39"/>
        <v>0.03544519141988958</v>
      </c>
      <c r="R77" s="685">
        <v>554.9751377764741</v>
      </c>
      <c r="S77" s="684">
        <f t="shared" si="40"/>
        <v>0.016438810720211732</v>
      </c>
      <c r="T77" s="685">
        <v>114.68736361686314</v>
      </c>
      <c r="U77" s="684">
        <f t="shared" si="41"/>
        <v>0.017203132082766057</v>
      </c>
      <c r="V77" s="709">
        <f t="shared" si="62"/>
        <v>2725.149718533283</v>
      </c>
      <c r="W77" s="689">
        <f t="shared" si="42"/>
        <v>0.027689745488668222</v>
      </c>
      <c r="Y77" s="683">
        <v>140</v>
      </c>
      <c r="Z77" s="684">
        <f t="shared" si="43"/>
        <v>0.009675190048375951</v>
      </c>
      <c r="AA77" s="685">
        <v>39</v>
      </c>
      <c r="AB77" s="684">
        <f t="shared" si="44"/>
        <v>0.003900780156031206</v>
      </c>
      <c r="AC77" s="685">
        <v>40</v>
      </c>
      <c r="AD77" s="684">
        <f t="shared" si="45"/>
        <v>0.012853470437017995</v>
      </c>
      <c r="AE77" s="685">
        <f t="shared" si="63"/>
        <v>219</v>
      </c>
      <c r="AF77" s="686">
        <f t="shared" si="46"/>
        <v>0.007940536620739666</v>
      </c>
      <c r="AG77" s="687">
        <v>1</v>
      </c>
      <c r="AH77" s="684">
        <f t="shared" si="47"/>
        <v>0.0035971223021582736</v>
      </c>
      <c r="AI77" s="685">
        <v>0</v>
      </c>
      <c r="AJ77" s="684">
        <f t="shared" si="48"/>
        <v>0</v>
      </c>
      <c r="AK77" s="685"/>
      <c r="AL77" s="684">
        <f t="shared" si="49"/>
        <v>0</v>
      </c>
      <c r="AM77" s="685">
        <f t="shared" si="64"/>
        <v>1</v>
      </c>
      <c r="AN77" s="688">
        <f t="shared" si="50"/>
        <v>0.0002698327037236913</v>
      </c>
      <c r="AO77" s="687">
        <v>13046.82</v>
      </c>
      <c r="AP77" s="684">
        <f t="shared" si="51"/>
        <v>0.035023216791146165</v>
      </c>
      <c r="AQ77" s="685">
        <v>10131.66</v>
      </c>
      <c r="AR77" s="684">
        <f t="shared" si="52"/>
        <v>0.011953524947579461</v>
      </c>
      <c r="AS77" s="685">
        <v>2087.94</v>
      </c>
      <c r="AT77" s="684">
        <f t="shared" si="53"/>
        <v>0.020598083731248842</v>
      </c>
      <c r="AU77" s="685">
        <f t="shared" si="65"/>
        <v>25266.42</v>
      </c>
      <c r="AV77" s="688">
        <f t="shared" si="54"/>
        <v>0.019119897578501365</v>
      </c>
      <c r="AW77" s="687">
        <v>19494.24</v>
      </c>
      <c r="AX77" s="684">
        <f t="shared" si="55"/>
        <v>0.03279760422625257</v>
      </c>
      <c r="AY77" s="685">
        <v>5050.02</v>
      </c>
      <c r="AZ77" s="684">
        <f t="shared" si="56"/>
        <v>0.00668239824898041</v>
      </c>
      <c r="BA77" s="685">
        <v>724.2</v>
      </c>
      <c r="BB77" s="684">
        <f t="shared" si="57"/>
        <v>0.025543838263272958</v>
      </c>
      <c r="BC77" s="685">
        <f t="shared" si="66"/>
        <v>25268.460000000003</v>
      </c>
      <c r="BD77" s="689">
        <f t="shared" si="58"/>
        <v>0.018331054736978096</v>
      </c>
      <c r="BE77" s="671"/>
      <c r="BF77"/>
      <c r="BG77"/>
      <c r="BH77"/>
    </row>
    <row r="78" spans="1:60" ht="11.25" customHeight="1">
      <c r="A78" s="639">
        <v>26000</v>
      </c>
      <c r="B78" s="640" t="s">
        <v>360</v>
      </c>
      <c r="C78" s="786">
        <v>134933.70700000002</v>
      </c>
      <c r="D78" s="686">
        <f t="shared" si="36"/>
        <v>0.07785448814898918</v>
      </c>
      <c r="E78" s="704">
        <v>30295</v>
      </c>
      <c r="F78" s="688">
        <f t="shared" si="37"/>
        <v>0.07450628366247755</v>
      </c>
      <c r="G78" s="704">
        <v>416172</v>
      </c>
      <c r="H78" s="688">
        <f t="shared" si="59"/>
        <v>0.08835036968930797</v>
      </c>
      <c r="I78" s="704">
        <v>272188</v>
      </c>
      <c r="J78" s="689">
        <f t="shared" si="60"/>
        <v>0.05900546551055339</v>
      </c>
      <c r="K78" s="597"/>
      <c r="L78" s="706">
        <v>108.885</v>
      </c>
      <c r="M78" s="707">
        <v>218.85199999999995</v>
      </c>
      <c r="N78" s="708">
        <f t="shared" si="38"/>
        <v>600.4904999999999</v>
      </c>
      <c r="O78" s="705">
        <f t="shared" si="61"/>
        <v>0.0606480771225471</v>
      </c>
      <c r="P78" s="687">
        <v>4226.055164686574</v>
      </c>
      <c r="Q78" s="684">
        <f t="shared" si="39"/>
        <v>0.07287485566159574</v>
      </c>
      <c r="R78" s="685">
        <v>1764.46271253418</v>
      </c>
      <c r="S78" s="684">
        <f t="shared" si="40"/>
        <v>0.05226480715952953</v>
      </c>
      <c r="T78" s="685">
        <v>481.93500884374174</v>
      </c>
      <c r="U78" s="684">
        <f t="shared" si="41"/>
        <v>0.07229036705512755</v>
      </c>
      <c r="V78" s="709">
        <f t="shared" si="62"/>
        <v>6472.452886064496</v>
      </c>
      <c r="W78" s="689">
        <f t="shared" si="42"/>
        <v>0.06576540433124578</v>
      </c>
      <c r="Y78" s="683">
        <v>1808</v>
      </c>
      <c r="Z78" s="684">
        <f t="shared" si="43"/>
        <v>0.12494816862474084</v>
      </c>
      <c r="AA78" s="685">
        <v>680</v>
      </c>
      <c r="AB78" s="684">
        <f t="shared" si="44"/>
        <v>0.0680136027205441</v>
      </c>
      <c r="AC78" s="685">
        <v>208</v>
      </c>
      <c r="AD78" s="684">
        <f t="shared" si="45"/>
        <v>0.06683804627249357</v>
      </c>
      <c r="AE78" s="685">
        <f t="shared" si="63"/>
        <v>2696</v>
      </c>
      <c r="AF78" s="686">
        <f t="shared" si="46"/>
        <v>0.09775199419869471</v>
      </c>
      <c r="AG78" s="687">
        <v>4</v>
      </c>
      <c r="AH78" s="684">
        <f t="shared" si="47"/>
        <v>0.014388489208633094</v>
      </c>
      <c r="AI78" s="685">
        <v>10</v>
      </c>
      <c r="AJ78" s="684">
        <f t="shared" si="48"/>
        <v>0.003057169061449098</v>
      </c>
      <c r="AK78" s="685">
        <v>4</v>
      </c>
      <c r="AL78" s="684">
        <f t="shared" si="49"/>
        <v>0.025477707006369428</v>
      </c>
      <c r="AM78" s="685">
        <f t="shared" si="64"/>
        <v>18</v>
      </c>
      <c r="AN78" s="688">
        <f t="shared" si="50"/>
        <v>0.004856988667026443</v>
      </c>
      <c r="AO78" s="687">
        <v>24258.059999999998</v>
      </c>
      <c r="AP78" s="684">
        <f t="shared" si="51"/>
        <v>0.06511895575417083</v>
      </c>
      <c r="AQ78" s="685">
        <v>66940.79999999999</v>
      </c>
      <c r="AR78" s="684">
        <f t="shared" si="52"/>
        <v>0.0789780275701047</v>
      </c>
      <c r="AS78" s="685">
        <v>13856.699999999999</v>
      </c>
      <c r="AT78" s="684">
        <f t="shared" si="53"/>
        <v>0.13670003296971933</v>
      </c>
      <c r="AU78" s="685">
        <f t="shared" si="65"/>
        <v>105055.55999999998</v>
      </c>
      <c r="AV78" s="688">
        <f t="shared" si="54"/>
        <v>0.07949885845529778</v>
      </c>
      <c r="AW78" s="687">
        <v>36558.659999999996</v>
      </c>
      <c r="AX78" s="684">
        <f t="shared" si="55"/>
        <v>0.06150721760489923</v>
      </c>
      <c r="AY78" s="685">
        <v>51702.42</v>
      </c>
      <c r="AZ78" s="684">
        <f t="shared" si="56"/>
        <v>0.0684148104118498</v>
      </c>
      <c r="BA78" s="685">
        <v>1249.4399999999998</v>
      </c>
      <c r="BB78" s="684">
        <f t="shared" si="57"/>
        <v>0.04406999900533521</v>
      </c>
      <c r="BC78" s="685">
        <f t="shared" si="66"/>
        <v>89510.51999999999</v>
      </c>
      <c r="BD78" s="689">
        <f t="shared" si="58"/>
        <v>0.06493558537621098</v>
      </c>
      <c r="BE78" s="671"/>
      <c r="BF78"/>
      <c r="BG78"/>
      <c r="BH78"/>
    </row>
    <row r="79" spans="1:60" ht="11.25" customHeight="1">
      <c r="A79" s="639">
        <v>27000</v>
      </c>
      <c r="B79" s="640" t="s">
        <v>361</v>
      </c>
      <c r="C79" s="786">
        <v>52307.638999999996</v>
      </c>
      <c r="D79" s="686">
        <f t="shared" si="36"/>
        <v>0.030180631297909155</v>
      </c>
      <c r="E79" s="704">
        <v>0</v>
      </c>
      <c r="F79" s="688">
        <f t="shared" si="37"/>
        <v>0</v>
      </c>
      <c r="G79" s="704">
        <v>181634</v>
      </c>
      <c r="H79" s="688">
        <f t="shared" si="59"/>
        <v>0.03855961248749979</v>
      </c>
      <c r="I79" s="704">
        <v>216490.40000000002</v>
      </c>
      <c r="J79" s="689">
        <f t="shared" si="60"/>
        <v>0.04693122705837843</v>
      </c>
      <c r="K79" s="597"/>
      <c r="L79" s="706">
        <v>104.594</v>
      </c>
      <c r="M79" s="707">
        <v>180.105</v>
      </c>
      <c r="N79" s="708">
        <f t="shared" si="38"/>
        <v>531.6424999999999</v>
      </c>
      <c r="O79" s="705">
        <f t="shared" si="61"/>
        <v>0.05369459690307132</v>
      </c>
      <c r="P79" s="687">
        <v>3709.629223544471</v>
      </c>
      <c r="Q79" s="684">
        <f t="shared" si="39"/>
        <v>0.06396951381108876</v>
      </c>
      <c r="R79" s="685">
        <v>1488.9970463284776</v>
      </c>
      <c r="S79" s="684">
        <f t="shared" si="40"/>
        <v>0.04410529218591205</v>
      </c>
      <c r="T79" s="685">
        <v>310.57963873522476</v>
      </c>
      <c r="U79" s="684">
        <f t="shared" si="41"/>
        <v>0.04658702039074716</v>
      </c>
      <c r="V79" s="709">
        <f t="shared" si="62"/>
        <v>5509.205908608174</v>
      </c>
      <c r="W79" s="689">
        <f t="shared" si="42"/>
        <v>0.055978028809415804</v>
      </c>
      <c r="Y79" s="683">
        <v>698</v>
      </c>
      <c r="Z79" s="684">
        <f t="shared" si="43"/>
        <v>0.048237733241188664</v>
      </c>
      <c r="AA79" s="685">
        <v>353</v>
      </c>
      <c r="AB79" s="684">
        <f t="shared" si="44"/>
        <v>0.03530706141228246</v>
      </c>
      <c r="AC79" s="685">
        <v>127</v>
      </c>
      <c r="AD79" s="684">
        <f t="shared" si="45"/>
        <v>0.040809768637532134</v>
      </c>
      <c r="AE79" s="685">
        <f t="shared" si="63"/>
        <v>1178</v>
      </c>
      <c r="AF79" s="686">
        <f t="shared" si="46"/>
        <v>0.04271211022480058</v>
      </c>
      <c r="AG79" s="687">
        <v>17</v>
      </c>
      <c r="AH79" s="684">
        <f t="shared" si="47"/>
        <v>0.06115107913669065</v>
      </c>
      <c r="AI79" s="685">
        <v>1</v>
      </c>
      <c r="AJ79" s="684">
        <f t="shared" si="48"/>
        <v>0.0003057169061449098</v>
      </c>
      <c r="AK79" s="685">
        <v>17</v>
      </c>
      <c r="AL79" s="684">
        <f t="shared" si="49"/>
        <v>0.10828025477707007</v>
      </c>
      <c r="AM79" s="685">
        <f t="shared" si="64"/>
        <v>35</v>
      </c>
      <c r="AN79" s="688">
        <f t="shared" si="50"/>
        <v>0.009444144630329197</v>
      </c>
      <c r="AO79" s="687">
        <v>9083.519999999999</v>
      </c>
      <c r="AP79" s="684">
        <f t="shared" si="51"/>
        <v>0.02438403305837836</v>
      </c>
      <c r="AQ79" s="685">
        <v>24761.939999999995</v>
      </c>
      <c r="AR79" s="684">
        <f t="shared" si="52"/>
        <v>0.029214607235188084</v>
      </c>
      <c r="AS79" s="685">
        <v>7668.78</v>
      </c>
      <c r="AT79" s="684">
        <f t="shared" si="53"/>
        <v>0.07565455547406845</v>
      </c>
      <c r="AU79" s="685">
        <f t="shared" si="65"/>
        <v>41514.23999999999</v>
      </c>
      <c r="AV79" s="688">
        <f t="shared" si="54"/>
        <v>0.03141513585420192</v>
      </c>
      <c r="AW79" s="687">
        <v>44384.759999999995</v>
      </c>
      <c r="AX79" s="684">
        <f t="shared" si="55"/>
        <v>0.07467404690601973</v>
      </c>
      <c r="AY79" s="685">
        <v>7146.659999999999</v>
      </c>
      <c r="AZ79" s="684">
        <f t="shared" si="56"/>
        <v>0.009456760224723531</v>
      </c>
      <c r="BA79" s="685">
        <v>1031.6999999999998</v>
      </c>
      <c r="BB79" s="684">
        <f t="shared" si="57"/>
        <v>0.03638991706188719</v>
      </c>
      <c r="BC79" s="685">
        <f t="shared" si="66"/>
        <v>52563.11999999999</v>
      </c>
      <c r="BD79" s="689">
        <f t="shared" si="58"/>
        <v>0.03813202030778084</v>
      </c>
      <c r="BE79" s="671"/>
      <c r="BF79"/>
      <c r="BG79"/>
      <c r="BH79"/>
    </row>
    <row r="80" spans="1:60" ht="11.25" customHeight="1">
      <c r="A80" s="639">
        <v>28000</v>
      </c>
      <c r="B80" s="640" t="s">
        <v>362</v>
      </c>
      <c r="C80" s="786">
        <v>22529.427</v>
      </c>
      <c r="D80" s="686">
        <f t="shared" si="36"/>
        <v>0.01299910190249955</v>
      </c>
      <c r="E80" s="704">
        <v>14660</v>
      </c>
      <c r="F80" s="688">
        <f t="shared" si="37"/>
        <v>0.0360542042743661</v>
      </c>
      <c r="G80" s="704">
        <v>35683</v>
      </c>
      <c r="H80" s="688">
        <f t="shared" si="59"/>
        <v>0.00757524831469579</v>
      </c>
      <c r="I80" s="704">
        <v>54326</v>
      </c>
      <c r="J80" s="689">
        <f t="shared" si="60"/>
        <v>0.01177690022824784</v>
      </c>
      <c r="K80" s="597"/>
      <c r="L80" s="706">
        <v>41.784</v>
      </c>
      <c r="M80" s="707">
        <v>89.524</v>
      </c>
      <c r="N80" s="708">
        <f t="shared" si="38"/>
        <v>238.74599999999998</v>
      </c>
      <c r="O80" s="705">
        <f t="shared" si="61"/>
        <v>0.024112764183113027</v>
      </c>
      <c r="P80" s="687">
        <v>3120.201623236479</v>
      </c>
      <c r="Q80" s="684">
        <f t="shared" si="39"/>
        <v>0.053805318214604776</v>
      </c>
      <c r="R80" s="685">
        <v>932.4883525197599</v>
      </c>
      <c r="S80" s="684">
        <f t="shared" si="40"/>
        <v>0.02762105630045076</v>
      </c>
      <c r="T80" s="685">
        <v>105.15958028413276</v>
      </c>
      <c r="U80" s="684">
        <f t="shared" si="41"/>
        <v>0.015773962294919983</v>
      </c>
      <c r="V80" s="709">
        <f t="shared" si="62"/>
        <v>4157.849556040372</v>
      </c>
      <c r="W80" s="689">
        <f t="shared" si="42"/>
        <v>0.04224714525002122</v>
      </c>
      <c r="Y80" s="683">
        <v>387</v>
      </c>
      <c r="Z80" s="684">
        <f t="shared" si="43"/>
        <v>0.026744989633724948</v>
      </c>
      <c r="AA80" s="685">
        <v>271</v>
      </c>
      <c r="AB80" s="684">
        <f t="shared" si="44"/>
        <v>0.027105421084216843</v>
      </c>
      <c r="AC80" s="685">
        <v>69</v>
      </c>
      <c r="AD80" s="684">
        <f t="shared" si="45"/>
        <v>0.02217223650385604</v>
      </c>
      <c r="AE80" s="685">
        <f t="shared" si="63"/>
        <v>727</v>
      </c>
      <c r="AF80" s="686">
        <f t="shared" si="46"/>
        <v>0.026359680928208847</v>
      </c>
      <c r="AG80" s="687">
        <v>7</v>
      </c>
      <c r="AH80" s="684">
        <f t="shared" si="47"/>
        <v>0.025179856115107913</v>
      </c>
      <c r="AI80" s="685">
        <v>15</v>
      </c>
      <c r="AJ80" s="684">
        <f t="shared" si="48"/>
        <v>0.0045857535921736475</v>
      </c>
      <c r="AK80" s="685">
        <v>17</v>
      </c>
      <c r="AL80" s="684">
        <f t="shared" si="49"/>
        <v>0.10828025477707007</v>
      </c>
      <c r="AM80" s="685">
        <f t="shared" si="64"/>
        <v>39</v>
      </c>
      <c r="AN80" s="688">
        <f t="shared" si="50"/>
        <v>0.010523475445223961</v>
      </c>
      <c r="AO80" s="687">
        <v>15645.359999999999</v>
      </c>
      <c r="AP80" s="684">
        <f t="shared" si="51"/>
        <v>0.04199880392735751</v>
      </c>
      <c r="AQ80" s="685">
        <v>18274.199999999997</v>
      </c>
      <c r="AR80" s="684">
        <f t="shared" si="52"/>
        <v>0.02156024833019037</v>
      </c>
      <c r="AS80" s="685">
        <v>3071.16</v>
      </c>
      <c r="AT80" s="684">
        <f t="shared" si="53"/>
        <v>0.03029781068041332</v>
      </c>
      <c r="AU80" s="685">
        <f t="shared" si="65"/>
        <v>36990.72</v>
      </c>
      <c r="AV80" s="688">
        <f t="shared" si="54"/>
        <v>0.027992045479930363</v>
      </c>
      <c r="AW80" s="687">
        <v>16336.199999999999</v>
      </c>
      <c r="AX80" s="684">
        <f t="shared" si="55"/>
        <v>0.027484437565193986</v>
      </c>
      <c r="AY80" s="685">
        <v>1460.34</v>
      </c>
      <c r="AZ80" s="684">
        <f t="shared" si="56"/>
        <v>0.0019323831309412736</v>
      </c>
      <c r="BA80" s="685">
        <v>832.1999999999999</v>
      </c>
      <c r="BB80" s="684">
        <f t="shared" si="57"/>
        <v>0.0293531927681521</v>
      </c>
      <c r="BC80" s="685">
        <f t="shared" si="66"/>
        <v>18628.739999999998</v>
      </c>
      <c r="BD80" s="689">
        <f t="shared" si="58"/>
        <v>0.013514256611638907</v>
      </c>
      <c r="BE80" s="671"/>
      <c r="BF80"/>
      <c r="BG80"/>
      <c r="BH80"/>
    </row>
    <row r="81" spans="1:60" ht="11.25" customHeight="1">
      <c r="A81" s="639">
        <v>31000</v>
      </c>
      <c r="B81" s="640" t="s">
        <v>139</v>
      </c>
      <c r="C81" s="786">
        <v>24029.972</v>
      </c>
      <c r="D81" s="686">
        <f t="shared" si="36"/>
        <v>0.01386489122613775</v>
      </c>
      <c r="E81" s="704">
        <v>0</v>
      </c>
      <c r="F81" s="688">
        <f t="shared" si="37"/>
        <v>0</v>
      </c>
      <c r="G81" s="704">
        <v>68269</v>
      </c>
      <c r="H81" s="688">
        <f t="shared" si="59"/>
        <v>0.014493025451782835</v>
      </c>
      <c r="I81" s="704">
        <v>198204</v>
      </c>
      <c r="J81" s="689">
        <f t="shared" si="60"/>
        <v>0.042967064257255</v>
      </c>
      <c r="K81" s="597"/>
      <c r="L81" s="706">
        <v>71.395</v>
      </c>
      <c r="M81" s="707">
        <v>129.15200000000002</v>
      </c>
      <c r="N81" s="708">
        <f t="shared" si="38"/>
        <v>372.2155</v>
      </c>
      <c r="O81" s="705">
        <f t="shared" si="61"/>
        <v>0.037592858421919145</v>
      </c>
      <c r="P81" s="687">
        <v>2234.3478070554174</v>
      </c>
      <c r="Q81" s="684">
        <f t="shared" si="39"/>
        <v>0.03852949561510105</v>
      </c>
      <c r="R81" s="685">
        <v>1107.9081648217975</v>
      </c>
      <c r="S81" s="684">
        <f t="shared" si="40"/>
        <v>0.03281713247525361</v>
      </c>
      <c r="T81" s="685">
        <v>101.76975238921388</v>
      </c>
      <c r="U81" s="684">
        <f t="shared" si="41"/>
        <v>0.015265487296672141</v>
      </c>
      <c r="V81" s="709">
        <f t="shared" si="62"/>
        <v>3444.025724266429</v>
      </c>
      <c r="W81" s="689">
        <f t="shared" si="42"/>
        <v>0.034994112474924906</v>
      </c>
      <c r="Y81" s="683">
        <v>1944</v>
      </c>
      <c r="Z81" s="684">
        <f t="shared" si="43"/>
        <v>0.13434692467173462</v>
      </c>
      <c r="AA81" s="685">
        <v>1189</v>
      </c>
      <c r="AB81" s="684">
        <f t="shared" si="44"/>
        <v>0.1189237847569514</v>
      </c>
      <c r="AC81" s="685">
        <v>92</v>
      </c>
      <c r="AD81" s="684">
        <f t="shared" si="45"/>
        <v>0.02956298200514139</v>
      </c>
      <c r="AE81" s="685">
        <f t="shared" si="63"/>
        <v>3225</v>
      </c>
      <c r="AF81" s="686">
        <f t="shared" si="46"/>
        <v>0.11693255982596085</v>
      </c>
      <c r="AG81" s="687"/>
      <c r="AH81" s="684">
        <f t="shared" si="47"/>
        <v>0</v>
      </c>
      <c r="AI81" s="685">
        <v>1</v>
      </c>
      <c r="AJ81" s="684">
        <f t="shared" si="48"/>
        <v>0.0003057169061449098</v>
      </c>
      <c r="AK81" s="685">
        <v>11</v>
      </c>
      <c r="AL81" s="684">
        <f t="shared" si="49"/>
        <v>0.07006369426751592</v>
      </c>
      <c r="AM81" s="685">
        <f t="shared" si="64"/>
        <v>12</v>
      </c>
      <c r="AN81" s="688">
        <f t="shared" si="50"/>
        <v>0.0032379924446842958</v>
      </c>
      <c r="AO81" s="687">
        <v>3899.9399999999996</v>
      </c>
      <c r="AP81" s="684">
        <f t="shared" si="51"/>
        <v>0.010469098530711894</v>
      </c>
      <c r="AQ81" s="685">
        <v>76486.02</v>
      </c>
      <c r="AR81" s="684">
        <f t="shared" si="52"/>
        <v>0.0902396594645953</v>
      </c>
      <c r="AS81" s="685">
        <v>1299.6</v>
      </c>
      <c r="AT81" s="684">
        <f t="shared" si="53"/>
        <v>0.01282089984249116</v>
      </c>
      <c r="AU81" s="685">
        <f t="shared" si="65"/>
        <v>81685.56000000001</v>
      </c>
      <c r="AV81" s="688">
        <f t="shared" si="54"/>
        <v>0.06181404175354199</v>
      </c>
      <c r="AW81" s="687">
        <v>30522.359999999997</v>
      </c>
      <c r="AX81" s="684">
        <f t="shared" si="55"/>
        <v>0.051351593256839065</v>
      </c>
      <c r="AY81" s="685">
        <v>59168.27999999999</v>
      </c>
      <c r="AZ81" s="684">
        <f t="shared" si="56"/>
        <v>0.07829394946300856</v>
      </c>
      <c r="BA81" s="685">
        <v>402.41999999999996</v>
      </c>
      <c r="BB81" s="684">
        <f t="shared" si="57"/>
        <v>0.01419407814679136</v>
      </c>
      <c r="BC81" s="685">
        <f t="shared" si="66"/>
        <v>90093.05999999998</v>
      </c>
      <c r="BD81" s="689">
        <f t="shared" si="58"/>
        <v>0.06535819018182554</v>
      </c>
      <c r="BE81" s="671"/>
      <c r="BF81"/>
      <c r="BG81"/>
      <c r="BH81"/>
    </row>
    <row r="82" spans="1:60" ht="11.25" customHeight="1">
      <c r="A82" s="639">
        <v>41000</v>
      </c>
      <c r="B82" s="640" t="s">
        <v>363</v>
      </c>
      <c r="C82" s="786">
        <v>39260.668000000005</v>
      </c>
      <c r="D82" s="686">
        <f t="shared" si="36"/>
        <v>0.022652747630563495</v>
      </c>
      <c r="E82" s="704">
        <v>0</v>
      </c>
      <c r="F82" s="688">
        <f t="shared" si="37"/>
        <v>0</v>
      </c>
      <c r="G82" s="704">
        <v>136926</v>
      </c>
      <c r="H82" s="688">
        <f t="shared" si="59"/>
        <v>0.029068420557072996</v>
      </c>
      <c r="I82" s="704">
        <v>110014.04000000001</v>
      </c>
      <c r="J82" s="689">
        <f t="shared" si="60"/>
        <v>0.023849066244274696</v>
      </c>
      <c r="K82" s="597"/>
      <c r="L82" s="706">
        <v>60.43800000000001</v>
      </c>
      <c r="M82" s="707">
        <v>107.455</v>
      </c>
      <c r="N82" s="708">
        <f t="shared" si="38"/>
        <v>312.27750000000003</v>
      </c>
      <c r="O82" s="705">
        <f t="shared" si="61"/>
        <v>0.03153926648903889</v>
      </c>
      <c r="P82" s="687">
        <v>3967.372082428071</v>
      </c>
      <c r="Q82" s="684">
        <f t="shared" si="39"/>
        <v>0.06841407804581578</v>
      </c>
      <c r="R82" s="685">
        <v>1698.5394364548918</v>
      </c>
      <c r="S82" s="684">
        <f t="shared" si="40"/>
        <v>0.0503121066081759</v>
      </c>
      <c r="T82" s="685">
        <v>337.33772030651335</v>
      </c>
      <c r="U82" s="684">
        <f t="shared" si="41"/>
        <v>0.05060073905194256</v>
      </c>
      <c r="V82" s="709">
        <f t="shared" si="62"/>
        <v>6003.249239189476</v>
      </c>
      <c r="W82" s="689">
        <f t="shared" si="42"/>
        <v>0.06099791230100356</v>
      </c>
      <c r="Y82" s="683">
        <v>645</v>
      </c>
      <c r="Z82" s="684">
        <f t="shared" si="43"/>
        <v>0.04457498272287491</v>
      </c>
      <c r="AA82" s="685">
        <v>208</v>
      </c>
      <c r="AB82" s="684">
        <f t="shared" si="44"/>
        <v>0.02080416083216643</v>
      </c>
      <c r="AC82" s="685">
        <v>78</v>
      </c>
      <c r="AD82" s="684">
        <f t="shared" si="45"/>
        <v>0.02506426735218509</v>
      </c>
      <c r="AE82" s="685">
        <f t="shared" si="63"/>
        <v>931</v>
      </c>
      <c r="AF82" s="686">
        <f t="shared" si="46"/>
        <v>0.03375634517766497</v>
      </c>
      <c r="AG82" s="687">
        <v>4</v>
      </c>
      <c r="AH82" s="684">
        <f t="shared" si="47"/>
        <v>0.014388489208633094</v>
      </c>
      <c r="AI82" s="685">
        <v>11</v>
      </c>
      <c r="AJ82" s="684">
        <f t="shared" si="48"/>
        <v>0.003362885967594008</v>
      </c>
      <c r="AK82" s="685">
        <v>10</v>
      </c>
      <c r="AL82" s="684">
        <f t="shared" si="49"/>
        <v>0.06369426751592357</v>
      </c>
      <c r="AM82" s="685">
        <f t="shared" si="64"/>
        <v>25</v>
      </c>
      <c r="AN82" s="688">
        <f t="shared" si="50"/>
        <v>0.006745817593092283</v>
      </c>
      <c r="AO82" s="687">
        <v>11959.5</v>
      </c>
      <c r="AP82" s="684">
        <f t="shared" si="51"/>
        <v>0.0321043872157133</v>
      </c>
      <c r="AQ82" s="685">
        <v>57803.4</v>
      </c>
      <c r="AR82" s="684">
        <f t="shared" si="52"/>
        <v>0.0681975494593102</v>
      </c>
      <c r="AS82" s="685">
        <v>2253.18</v>
      </c>
      <c r="AT82" s="684">
        <f t="shared" si="53"/>
        <v>0.022228220304019875</v>
      </c>
      <c r="AU82" s="685">
        <f t="shared" si="65"/>
        <v>72016.07999999999</v>
      </c>
      <c r="AV82" s="688">
        <f t="shared" si="54"/>
        <v>0.05449684100894232</v>
      </c>
      <c r="AW82" s="687">
        <v>10940.52</v>
      </c>
      <c r="AX82" s="684">
        <f t="shared" si="55"/>
        <v>0.018406608566910062</v>
      </c>
      <c r="AY82" s="685">
        <v>69207</v>
      </c>
      <c r="AZ82" s="684">
        <f t="shared" si="56"/>
        <v>0.09157760476536474</v>
      </c>
      <c r="BA82" s="685">
        <v>2931.48</v>
      </c>
      <c r="BB82" s="684">
        <f t="shared" si="57"/>
        <v>0.10339857911076969</v>
      </c>
      <c r="BC82" s="685">
        <f t="shared" si="66"/>
        <v>83079</v>
      </c>
      <c r="BD82" s="689">
        <f t="shared" si="58"/>
        <v>0.06026982635639066</v>
      </c>
      <c r="BE82" s="671"/>
      <c r="BF82"/>
      <c r="BG82"/>
      <c r="BH82"/>
    </row>
    <row r="83" spans="1:60" ht="11.25" customHeight="1">
      <c r="A83" s="639">
        <v>43000</v>
      </c>
      <c r="B83" s="640" t="s">
        <v>141</v>
      </c>
      <c r="C83" s="786">
        <v>37075.96600000001</v>
      </c>
      <c r="D83" s="686">
        <f t="shared" si="36"/>
        <v>0.02139221118085288</v>
      </c>
      <c r="E83" s="704">
        <v>0</v>
      </c>
      <c r="F83" s="688">
        <f t="shared" si="37"/>
        <v>0</v>
      </c>
      <c r="G83" s="704">
        <v>133335</v>
      </c>
      <c r="H83" s="688">
        <f t="shared" si="59"/>
        <v>0.028306076676287394</v>
      </c>
      <c r="I83" s="704">
        <v>132741</v>
      </c>
      <c r="J83" s="689">
        <f t="shared" si="60"/>
        <v>0.028775862629272293</v>
      </c>
      <c r="K83" s="597"/>
      <c r="L83" s="706">
        <v>53.181</v>
      </c>
      <c r="M83" s="707">
        <v>108.025</v>
      </c>
      <c r="N83" s="708">
        <f t="shared" si="38"/>
        <v>294.99</v>
      </c>
      <c r="O83" s="705">
        <f t="shared" si="61"/>
        <v>0.029793271118161192</v>
      </c>
      <c r="P83" s="687">
        <v>2736.1763085217967</v>
      </c>
      <c r="Q83" s="684">
        <f t="shared" si="39"/>
        <v>0.04718311658929615</v>
      </c>
      <c r="R83" s="685">
        <v>888.5560769328506</v>
      </c>
      <c r="S83" s="684">
        <f t="shared" si="40"/>
        <v>0.02631974690166422</v>
      </c>
      <c r="T83" s="685">
        <v>423.13954186927543</v>
      </c>
      <c r="U83" s="684">
        <f t="shared" si="41"/>
        <v>0.06347103289021758</v>
      </c>
      <c r="V83" s="709">
        <f t="shared" si="62"/>
        <v>4047.871927323923</v>
      </c>
      <c r="W83" s="689">
        <f t="shared" si="42"/>
        <v>0.04112968277524581</v>
      </c>
      <c r="Y83" s="683">
        <v>473</v>
      </c>
      <c r="Z83" s="684">
        <f t="shared" si="43"/>
        <v>0.0326883206634416</v>
      </c>
      <c r="AA83" s="685">
        <v>111</v>
      </c>
      <c r="AB83" s="684">
        <f t="shared" si="44"/>
        <v>0.011102220444088817</v>
      </c>
      <c r="AC83" s="685">
        <v>51</v>
      </c>
      <c r="AD83" s="684">
        <f t="shared" si="45"/>
        <v>0.016388174807197942</v>
      </c>
      <c r="AE83" s="685">
        <f t="shared" si="63"/>
        <v>635</v>
      </c>
      <c r="AF83" s="686">
        <f t="shared" si="46"/>
        <v>0.023023930384336477</v>
      </c>
      <c r="AG83" s="687">
        <v>6</v>
      </c>
      <c r="AH83" s="684">
        <f t="shared" si="47"/>
        <v>0.02158273381294964</v>
      </c>
      <c r="AI83" s="685">
        <v>5</v>
      </c>
      <c r="AJ83" s="684">
        <f t="shared" si="48"/>
        <v>0.001528584530724549</v>
      </c>
      <c r="AK83" s="685">
        <v>21</v>
      </c>
      <c r="AL83" s="684">
        <f t="shared" si="49"/>
        <v>0.1337579617834395</v>
      </c>
      <c r="AM83" s="685">
        <f t="shared" si="64"/>
        <v>32</v>
      </c>
      <c r="AN83" s="688">
        <f t="shared" si="50"/>
        <v>0.008634646519158122</v>
      </c>
      <c r="AO83" s="687">
        <v>11813.82</v>
      </c>
      <c r="AP83" s="684">
        <f t="shared" si="51"/>
        <v>0.03171332010341051</v>
      </c>
      <c r="AQ83" s="685">
        <v>26377.319999999996</v>
      </c>
      <c r="AR83" s="684">
        <f t="shared" si="52"/>
        <v>0.031120463247906724</v>
      </c>
      <c r="AS83" s="685">
        <v>3723.24</v>
      </c>
      <c r="AT83" s="684">
        <f t="shared" si="53"/>
        <v>0.03673075340840011</v>
      </c>
      <c r="AU83" s="685">
        <f t="shared" si="65"/>
        <v>41914.38</v>
      </c>
      <c r="AV83" s="688">
        <f t="shared" si="54"/>
        <v>0.0317179344230954</v>
      </c>
      <c r="AW83" s="687">
        <v>30936.179999999997</v>
      </c>
      <c r="AX83" s="684">
        <f t="shared" si="55"/>
        <v>0.052047814529425626</v>
      </c>
      <c r="AY83" s="685">
        <v>562.02</v>
      </c>
      <c r="AZ83" s="684">
        <f t="shared" si="56"/>
        <v>0.0007436884336877814</v>
      </c>
      <c r="BA83" s="685">
        <v>343.14</v>
      </c>
      <c r="BB83" s="684">
        <f t="shared" si="57"/>
        <v>0.01210316578522436</v>
      </c>
      <c r="BC83" s="685">
        <f t="shared" si="66"/>
        <v>31841.339999999997</v>
      </c>
      <c r="BD83" s="689">
        <f t="shared" si="58"/>
        <v>0.02309936365092016</v>
      </c>
      <c r="BE83" s="671"/>
      <c r="BF83"/>
      <c r="BG83"/>
      <c r="BH83"/>
    </row>
    <row r="84" spans="1:60" ht="11.25" customHeight="1">
      <c r="A84" s="639">
        <v>51000</v>
      </c>
      <c r="B84" s="640" t="s">
        <v>364</v>
      </c>
      <c r="C84" s="786">
        <v>5151.248</v>
      </c>
      <c r="D84" s="686">
        <f t="shared" si="36"/>
        <v>0.0029721837877655297</v>
      </c>
      <c r="E84" s="704">
        <v>88200</v>
      </c>
      <c r="F84" s="688">
        <f t="shared" si="37"/>
        <v>0.2169154718280416</v>
      </c>
      <c r="G84" s="704">
        <v>20724.8</v>
      </c>
      <c r="H84" s="688">
        <f t="shared" si="59"/>
        <v>0.004399728337651187</v>
      </c>
      <c r="I84" s="704">
        <v>11934.75</v>
      </c>
      <c r="J84" s="689">
        <f t="shared" si="60"/>
        <v>0.0025872392592696117</v>
      </c>
      <c r="K84" s="597"/>
      <c r="L84" s="706">
        <v>59.507999999999996</v>
      </c>
      <c r="M84" s="707">
        <v>57.431</v>
      </c>
      <c r="N84" s="708">
        <f t="shared" si="38"/>
        <v>234.91649999999998</v>
      </c>
      <c r="O84" s="705">
        <f t="shared" si="61"/>
        <v>0.0237259940154904</v>
      </c>
      <c r="P84" s="687">
        <v>868.4727184442328</v>
      </c>
      <c r="Q84" s="684">
        <f t="shared" si="39"/>
        <v>0.014976099822717536</v>
      </c>
      <c r="R84" s="685">
        <v>551.1119706380575</v>
      </c>
      <c r="S84" s="684">
        <f t="shared" si="40"/>
        <v>0.01632438059704728</v>
      </c>
      <c r="T84" s="685">
        <v>169.625</v>
      </c>
      <c r="U84" s="684">
        <f t="shared" si="41"/>
        <v>0.02544379073258364</v>
      </c>
      <c r="V84" s="709">
        <f t="shared" si="62"/>
        <v>1589.2096890822904</v>
      </c>
      <c r="W84" s="689">
        <f t="shared" si="42"/>
        <v>0.01614766760135962</v>
      </c>
      <c r="Y84" s="683">
        <v>82</v>
      </c>
      <c r="Z84" s="684">
        <f t="shared" si="43"/>
        <v>0.0056668970283344855</v>
      </c>
      <c r="AA84" s="685">
        <v>70</v>
      </c>
      <c r="AB84" s="684">
        <f t="shared" si="44"/>
        <v>0.007001400280056011</v>
      </c>
      <c r="AC84" s="685">
        <v>24</v>
      </c>
      <c r="AD84" s="684">
        <f t="shared" si="45"/>
        <v>0.007712082262210797</v>
      </c>
      <c r="AE84" s="685">
        <f t="shared" si="63"/>
        <v>176</v>
      </c>
      <c r="AF84" s="686">
        <f t="shared" si="46"/>
        <v>0.006381435823060188</v>
      </c>
      <c r="AG84" s="687">
        <v>15</v>
      </c>
      <c r="AH84" s="684">
        <f t="shared" si="47"/>
        <v>0.0539568345323741</v>
      </c>
      <c r="AI84" s="685">
        <v>31</v>
      </c>
      <c r="AJ84" s="684">
        <f t="shared" si="48"/>
        <v>0.009477224090492203</v>
      </c>
      <c r="AK84" s="685"/>
      <c r="AL84" s="684">
        <f t="shared" si="49"/>
        <v>0</v>
      </c>
      <c r="AM84" s="685">
        <f t="shared" si="64"/>
        <v>46</v>
      </c>
      <c r="AN84" s="688">
        <f t="shared" si="50"/>
        <v>0.0124123043712898</v>
      </c>
      <c r="AO84" s="687">
        <v>5681.400000000001</v>
      </c>
      <c r="AP84" s="684">
        <f t="shared" si="51"/>
        <v>0.015251295248743973</v>
      </c>
      <c r="AQ84" s="685">
        <v>10443.78</v>
      </c>
      <c r="AR84" s="684">
        <f t="shared" si="52"/>
        <v>0.012321770053182938</v>
      </c>
      <c r="AS84" s="685">
        <v>125.46000000000001</v>
      </c>
      <c r="AT84" s="684">
        <f t="shared" si="53"/>
        <v>0.001237696286733565</v>
      </c>
      <c r="AU84" s="685">
        <f t="shared" si="65"/>
        <v>16250.64</v>
      </c>
      <c r="AV84" s="688">
        <f t="shared" si="54"/>
        <v>0.012297372258717201</v>
      </c>
      <c r="AW84" s="687">
        <v>29539.2</v>
      </c>
      <c r="AX84" s="684">
        <f t="shared" si="55"/>
        <v>0.04969749991587874</v>
      </c>
      <c r="AY84" s="685">
        <v>2795.82</v>
      </c>
      <c r="AZ84" s="684">
        <f t="shared" si="56"/>
        <v>0.003699546273572067</v>
      </c>
      <c r="BA84" s="685">
        <v>0</v>
      </c>
      <c r="BB84" s="684">
        <f t="shared" si="57"/>
        <v>0</v>
      </c>
      <c r="BC84" s="685">
        <f t="shared" si="66"/>
        <v>32335.02</v>
      </c>
      <c r="BD84" s="689">
        <f t="shared" si="58"/>
        <v>0.023457504792190796</v>
      </c>
      <c r="BE84" s="671"/>
      <c r="BF84"/>
      <c r="BG84"/>
      <c r="BH84"/>
    </row>
    <row r="85" spans="1:60" ht="11.25" customHeight="1">
      <c r="A85" s="639">
        <v>52000</v>
      </c>
      <c r="B85" s="640" t="s">
        <v>365</v>
      </c>
      <c r="C85" s="786">
        <v>537.211</v>
      </c>
      <c r="D85" s="686">
        <f t="shared" si="36"/>
        <v>0.0003099617461262413</v>
      </c>
      <c r="E85" s="704">
        <v>38568</v>
      </c>
      <c r="F85" s="688">
        <f t="shared" si="37"/>
        <v>0.09485256142249329</v>
      </c>
      <c r="G85" s="704">
        <v>342</v>
      </c>
      <c r="H85" s="688">
        <f t="shared" si="59"/>
        <v>7.260417912243814E-05</v>
      </c>
      <c r="I85" s="704">
        <v>2488</v>
      </c>
      <c r="J85" s="689">
        <f t="shared" si="60"/>
        <v>0.0005393536753650302</v>
      </c>
      <c r="K85" s="597"/>
      <c r="L85" s="706">
        <v>12.738</v>
      </c>
      <c r="M85" s="707">
        <v>7.397</v>
      </c>
      <c r="N85" s="708">
        <f t="shared" si="38"/>
        <v>42.9405</v>
      </c>
      <c r="O85" s="705">
        <f t="shared" si="61"/>
        <v>0.004336885855281198</v>
      </c>
      <c r="P85" s="687">
        <v>0</v>
      </c>
      <c r="Q85" s="684">
        <f t="shared" si="39"/>
        <v>0</v>
      </c>
      <c r="R85" s="685">
        <v>408.3303658514179</v>
      </c>
      <c r="S85" s="684">
        <f t="shared" si="40"/>
        <v>0.01209507442520755</v>
      </c>
      <c r="T85" s="685">
        <v>32.45</v>
      </c>
      <c r="U85" s="684">
        <f t="shared" si="41"/>
        <v>0.004867507792320349</v>
      </c>
      <c r="V85" s="709">
        <f t="shared" si="62"/>
        <v>440.7803658514179</v>
      </c>
      <c r="W85" s="689">
        <f t="shared" si="42"/>
        <v>0.004478688295113854</v>
      </c>
      <c r="Y85" s="683">
        <v>0</v>
      </c>
      <c r="Z85" s="684">
        <f t="shared" si="43"/>
        <v>0</v>
      </c>
      <c r="AA85" s="685">
        <v>21</v>
      </c>
      <c r="AB85" s="684">
        <f t="shared" si="44"/>
        <v>0.0021004200840168035</v>
      </c>
      <c r="AC85" s="685">
        <v>9</v>
      </c>
      <c r="AD85" s="684">
        <f t="shared" si="45"/>
        <v>0.002892030848329049</v>
      </c>
      <c r="AE85" s="685">
        <f t="shared" si="63"/>
        <v>30</v>
      </c>
      <c r="AF85" s="686">
        <f t="shared" si="46"/>
        <v>0.0010877447425670776</v>
      </c>
      <c r="AG85" s="687"/>
      <c r="AH85" s="684">
        <f t="shared" si="47"/>
        <v>0</v>
      </c>
      <c r="AI85" s="685">
        <v>0</v>
      </c>
      <c r="AJ85" s="684">
        <f t="shared" si="48"/>
        <v>0</v>
      </c>
      <c r="AK85" s="685"/>
      <c r="AL85" s="684">
        <f t="shared" si="49"/>
        <v>0</v>
      </c>
      <c r="AM85" s="685">
        <f t="shared" si="64"/>
        <v>0</v>
      </c>
      <c r="AN85" s="688">
        <f t="shared" si="50"/>
        <v>0</v>
      </c>
      <c r="AO85" s="687">
        <v>0</v>
      </c>
      <c r="AP85" s="684">
        <f t="shared" si="51"/>
        <v>0</v>
      </c>
      <c r="AQ85" s="685">
        <v>5272</v>
      </c>
      <c r="AR85" s="684">
        <f t="shared" si="52"/>
        <v>0.0062200057565728545</v>
      </c>
      <c r="AS85" s="685">
        <v>114</v>
      </c>
      <c r="AT85" s="684">
        <f t="shared" si="53"/>
        <v>0.0011246403370606282</v>
      </c>
      <c r="AU85" s="685">
        <f t="shared" si="65"/>
        <v>5386</v>
      </c>
      <c r="AV85" s="688">
        <f t="shared" si="54"/>
        <v>0.004075756215475258</v>
      </c>
      <c r="AW85" s="687">
        <v>0</v>
      </c>
      <c r="AX85" s="684">
        <f t="shared" si="55"/>
        <v>0</v>
      </c>
      <c r="AY85" s="685">
        <v>5288</v>
      </c>
      <c r="AZ85" s="684">
        <f t="shared" si="56"/>
        <v>0.006997303365255663</v>
      </c>
      <c r="BA85" s="685">
        <v>0</v>
      </c>
      <c r="BB85" s="684">
        <f t="shared" si="57"/>
        <v>0</v>
      </c>
      <c r="BC85" s="685">
        <f t="shared" si="66"/>
        <v>5288</v>
      </c>
      <c r="BD85" s="689">
        <f t="shared" si="58"/>
        <v>0.0038361901536199737</v>
      </c>
      <c r="BE85" s="671"/>
      <c r="BF85"/>
      <c r="BG85"/>
      <c r="BH85"/>
    </row>
    <row r="86" spans="1:60" ht="11.25" customHeight="1">
      <c r="A86" s="639">
        <v>53000</v>
      </c>
      <c r="B86" s="640" t="s">
        <v>293</v>
      </c>
      <c r="C86" s="786">
        <v>1106.394</v>
      </c>
      <c r="D86" s="686">
        <f t="shared" si="36"/>
        <v>0.0006383708005673684</v>
      </c>
      <c r="E86" s="704">
        <v>47777</v>
      </c>
      <c r="F86" s="688">
        <f t="shared" si="37"/>
        <v>0.11750079929170458</v>
      </c>
      <c r="G86" s="704">
        <v>1049</v>
      </c>
      <c r="H86" s="688">
        <f t="shared" si="59"/>
        <v>0.0002226952745597591</v>
      </c>
      <c r="I86" s="704">
        <v>12114</v>
      </c>
      <c r="J86" s="689">
        <f t="shared" si="60"/>
        <v>0.0026260974370466137</v>
      </c>
      <c r="K86" s="597"/>
      <c r="L86" s="706">
        <v>7.397</v>
      </c>
      <c r="M86" s="707">
        <v>10.703</v>
      </c>
      <c r="N86" s="708">
        <f t="shared" si="38"/>
        <v>34.547</v>
      </c>
      <c r="O86" s="705">
        <f t="shared" si="61"/>
        <v>0.0034891628099905578</v>
      </c>
      <c r="P86" s="687">
        <v>289.1</v>
      </c>
      <c r="Q86" s="684">
        <f t="shared" si="39"/>
        <v>0.004985292418285279</v>
      </c>
      <c r="R86" s="685">
        <v>415.7539900572219</v>
      </c>
      <c r="S86" s="684">
        <f t="shared" si="40"/>
        <v>0.01231496815534136</v>
      </c>
      <c r="T86" s="685">
        <v>47.2</v>
      </c>
      <c r="U86" s="684">
        <f t="shared" si="41"/>
        <v>0.0070800113342841435</v>
      </c>
      <c r="V86" s="709">
        <f t="shared" si="62"/>
        <v>752.053990057222</v>
      </c>
      <c r="W86" s="689">
        <f t="shared" si="42"/>
        <v>0.007641482387848324</v>
      </c>
      <c r="Y86" s="683">
        <v>17</v>
      </c>
      <c r="Z86" s="684">
        <f t="shared" si="43"/>
        <v>0.0011748445058742225</v>
      </c>
      <c r="AA86" s="685">
        <v>30</v>
      </c>
      <c r="AB86" s="684">
        <f t="shared" si="44"/>
        <v>0.0030006001200240046</v>
      </c>
      <c r="AC86" s="685">
        <v>0</v>
      </c>
      <c r="AD86" s="684">
        <f t="shared" si="45"/>
        <v>0</v>
      </c>
      <c r="AE86" s="685">
        <f t="shared" si="63"/>
        <v>47</v>
      </c>
      <c r="AF86" s="686">
        <f t="shared" si="46"/>
        <v>0.0017041334300217548</v>
      </c>
      <c r="AG86" s="687"/>
      <c r="AH86" s="684">
        <f t="shared" si="47"/>
        <v>0</v>
      </c>
      <c r="AI86" s="685">
        <v>10</v>
      </c>
      <c r="AJ86" s="684">
        <f t="shared" si="48"/>
        <v>0.003057169061449098</v>
      </c>
      <c r="AK86" s="685"/>
      <c r="AL86" s="684">
        <f t="shared" si="49"/>
        <v>0</v>
      </c>
      <c r="AM86" s="685">
        <f t="shared" si="64"/>
        <v>10</v>
      </c>
      <c r="AN86" s="688">
        <f t="shared" si="50"/>
        <v>0.002698327037236913</v>
      </c>
      <c r="AO86" s="687">
        <v>424</v>
      </c>
      <c r="AP86" s="684">
        <f t="shared" si="51"/>
        <v>0.0011381964278993635</v>
      </c>
      <c r="AQ86" s="685">
        <v>12963</v>
      </c>
      <c r="AR86" s="684">
        <f t="shared" si="52"/>
        <v>0.015293993668902486</v>
      </c>
      <c r="AS86" s="685">
        <v>0</v>
      </c>
      <c r="AT86" s="684">
        <f t="shared" si="53"/>
        <v>0</v>
      </c>
      <c r="AU86" s="685">
        <f t="shared" si="65"/>
        <v>13387</v>
      </c>
      <c r="AV86" s="688">
        <f t="shared" si="54"/>
        <v>0.010130365476525674</v>
      </c>
      <c r="AW86" s="687">
        <v>0</v>
      </c>
      <c r="AX86" s="684">
        <f t="shared" si="55"/>
        <v>0</v>
      </c>
      <c r="AY86" s="685">
        <v>11538</v>
      </c>
      <c r="AZ86" s="684">
        <f t="shared" si="56"/>
        <v>0.015267565474341877</v>
      </c>
      <c r="BA86" s="685">
        <v>0</v>
      </c>
      <c r="BB86" s="684">
        <f t="shared" si="57"/>
        <v>0</v>
      </c>
      <c r="BC86" s="685">
        <f t="shared" si="66"/>
        <v>11538</v>
      </c>
      <c r="BD86" s="689">
        <f t="shared" si="58"/>
        <v>0.008370265127168543</v>
      </c>
      <c r="BE86" s="671"/>
      <c r="BF86"/>
      <c r="BG86"/>
      <c r="BH86"/>
    </row>
    <row r="87" spans="1:60" ht="11.25" customHeight="1">
      <c r="A87" s="639">
        <v>54000</v>
      </c>
      <c r="B87" s="640" t="s">
        <v>145</v>
      </c>
      <c r="C87" s="786">
        <v>1631.762</v>
      </c>
      <c r="D87" s="686">
        <f t="shared" si="36"/>
        <v>0.0009414993341209462</v>
      </c>
      <c r="E87" s="704">
        <v>76885</v>
      </c>
      <c r="F87" s="688">
        <f t="shared" si="37"/>
        <v>0.18908782371314037</v>
      </c>
      <c r="G87" s="704">
        <v>2897</v>
      </c>
      <c r="H87" s="688">
        <f t="shared" si="59"/>
        <v>0.0006150125933266178</v>
      </c>
      <c r="I87" s="704">
        <v>8029.389999999999</v>
      </c>
      <c r="J87" s="689">
        <f t="shared" si="60"/>
        <v>0.0017406274145656026</v>
      </c>
      <c r="K87" s="597"/>
      <c r="L87" s="706">
        <v>24.279</v>
      </c>
      <c r="M87" s="707">
        <v>38.64</v>
      </c>
      <c r="N87" s="708">
        <f t="shared" si="38"/>
        <v>118.6575</v>
      </c>
      <c r="O87" s="705">
        <f t="shared" si="61"/>
        <v>0.01198411833520869</v>
      </c>
      <c r="P87" s="687">
        <v>524.1501811580679</v>
      </c>
      <c r="Q87" s="684">
        <f t="shared" si="39"/>
        <v>0.009038540035178733</v>
      </c>
      <c r="R87" s="685">
        <v>276.1822214939656</v>
      </c>
      <c r="S87" s="684">
        <f t="shared" si="40"/>
        <v>0.00818073991857902</v>
      </c>
      <c r="T87" s="685">
        <v>54.575</v>
      </c>
      <c r="U87" s="684">
        <f t="shared" si="41"/>
        <v>0.008186263105266042</v>
      </c>
      <c r="V87" s="709">
        <f t="shared" si="62"/>
        <v>854.9074026520335</v>
      </c>
      <c r="W87" s="689">
        <f t="shared" si="42"/>
        <v>0.008686557011830505</v>
      </c>
      <c r="Y87" s="683">
        <v>56</v>
      </c>
      <c r="Z87" s="684">
        <f t="shared" si="43"/>
        <v>0.0038700760193503803</v>
      </c>
      <c r="AA87" s="685">
        <v>41</v>
      </c>
      <c r="AB87" s="684">
        <f t="shared" si="44"/>
        <v>0.004100820164032806</v>
      </c>
      <c r="AC87" s="685">
        <v>10</v>
      </c>
      <c r="AD87" s="684">
        <f t="shared" si="45"/>
        <v>0.003213367609254499</v>
      </c>
      <c r="AE87" s="685">
        <f t="shared" si="63"/>
        <v>107</v>
      </c>
      <c r="AF87" s="686">
        <f t="shared" si="46"/>
        <v>0.00387962291515591</v>
      </c>
      <c r="AG87" s="687"/>
      <c r="AH87" s="684">
        <f t="shared" si="47"/>
        <v>0</v>
      </c>
      <c r="AI87" s="685">
        <v>0</v>
      </c>
      <c r="AJ87" s="684">
        <f t="shared" si="48"/>
        <v>0</v>
      </c>
      <c r="AK87" s="685">
        <v>1</v>
      </c>
      <c r="AL87" s="684">
        <f t="shared" si="49"/>
        <v>0.006369426751592357</v>
      </c>
      <c r="AM87" s="685">
        <f t="shared" si="64"/>
        <v>1</v>
      </c>
      <c r="AN87" s="688">
        <f t="shared" si="50"/>
        <v>0.0002698327037236913</v>
      </c>
      <c r="AO87" s="687">
        <v>3349.68</v>
      </c>
      <c r="AP87" s="684">
        <f t="shared" si="51"/>
        <v>0.00899196653444797</v>
      </c>
      <c r="AQ87" s="685">
        <v>3525.12</v>
      </c>
      <c r="AR87" s="684">
        <f t="shared" si="52"/>
        <v>0.004159003545639245</v>
      </c>
      <c r="AS87" s="685">
        <v>459</v>
      </c>
      <c r="AT87" s="684">
        <f t="shared" si="53"/>
        <v>0.004528157146586213</v>
      </c>
      <c r="AU87" s="685">
        <f t="shared" si="65"/>
        <v>7333.799999999999</v>
      </c>
      <c r="AV87" s="688">
        <f t="shared" si="54"/>
        <v>0.00554971796009143</v>
      </c>
      <c r="AW87" s="687">
        <v>1801.32</v>
      </c>
      <c r="AX87" s="684">
        <f t="shared" si="55"/>
        <v>0.0030305864934890145</v>
      </c>
      <c r="AY87" s="685">
        <v>1928.82</v>
      </c>
      <c r="AZ87" s="684">
        <f t="shared" si="56"/>
        <v>0.002552295513799627</v>
      </c>
      <c r="BA87" s="685">
        <v>91.8</v>
      </c>
      <c r="BB87" s="684">
        <f t="shared" si="57"/>
        <v>0.003237951329147276</v>
      </c>
      <c r="BC87" s="685">
        <f t="shared" si="66"/>
        <v>3821.94</v>
      </c>
      <c r="BD87" s="689">
        <f t="shared" si="58"/>
        <v>0.002772634000704675</v>
      </c>
      <c r="BE87" s="671"/>
      <c r="BF87"/>
      <c r="BG87"/>
      <c r="BH87"/>
    </row>
    <row r="88" spans="1:60" ht="11.25" customHeight="1">
      <c r="A88" s="639">
        <v>55000</v>
      </c>
      <c r="B88" s="640" t="s">
        <v>280</v>
      </c>
      <c r="C88" s="786">
        <v>0</v>
      </c>
      <c r="D88" s="686">
        <f t="shared" si="36"/>
        <v>0</v>
      </c>
      <c r="E88" s="704">
        <v>0</v>
      </c>
      <c r="F88" s="688">
        <f t="shared" si="37"/>
        <v>0</v>
      </c>
      <c r="G88" s="704">
        <v>343</v>
      </c>
      <c r="H88" s="688">
        <f t="shared" si="59"/>
        <v>7.281647204384878E-05</v>
      </c>
      <c r="I88" s="704">
        <v>15020</v>
      </c>
      <c r="J88" s="689">
        <f t="shared" si="60"/>
        <v>0.0032560659983853508</v>
      </c>
      <c r="K88" s="597"/>
      <c r="L88" s="706">
        <v>5.078</v>
      </c>
      <c r="M88" s="707">
        <v>10.794</v>
      </c>
      <c r="N88" s="708">
        <f t="shared" si="38"/>
        <v>28.886000000000003</v>
      </c>
      <c r="O88" s="705">
        <f t="shared" si="61"/>
        <v>0.002917415605678851</v>
      </c>
      <c r="P88" s="687">
        <v>763.5791583796063</v>
      </c>
      <c r="Q88" s="684">
        <f t="shared" si="39"/>
        <v>0.013167296399275358</v>
      </c>
      <c r="R88" s="685">
        <v>0</v>
      </c>
      <c r="S88" s="684">
        <f t="shared" si="40"/>
        <v>0</v>
      </c>
      <c r="T88" s="685">
        <v>0</v>
      </c>
      <c r="U88" s="684">
        <f t="shared" si="41"/>
        <v>0</v>
      </c>
      <c r="V88" s="709">
        <f t="shared" si="62"/>
        <v>763.5791583796063</v>
      </c>
      <c r="W88" s="689">
        <f t="shared" si="42"/>
        <v>0.007758587505189415</v>
      </c>
      <c r="Y88" s="683">
        <v>51</v>
      </c>
      <c r="Z88" s="684">
        <f t="shared" si="43"/>
        <v>0.0035245335176226677</v>
      </c>
      <c r="AA88" s="685">
        <v>0</v>
      </c>
      <c r="AB88" s="684">
        <f t="shared" si="44"/>
        <v>0</v>
      </c>
      <c r="AC88" s="685">
        <v>0</v>
      </c>
      <c r="AD88" s="684">
        <f t="shared" si="45"/>
        <v>0</v>
      </c>
      <c r="AE88" s="685">
        <f t="shared" si="63"/>
        <v>51</v>
      </c>
      <c r="AF88" s="686">
        <f t="shared" si="46"/>
        <v>0.0018491660623640319</v>
      </c>
      <c r="AG88" s="687"/>
      <c r="AH88" s="684">
        <f t="shared" si="47"/>
        <v>0</v>
      </c>
      <c r="AI88" s="685">
        <v>0</v>
      </c>
      <c r="AJ88" s="684">
        <f t="shared" si="48"/>
        <v>0</v>
      </c>
      <c r="AK88" s="685"/>
      <c r="AL88" s="684">
        <f t="shared" si="49"/>
        <v>0</v>
      </c>
      <c r="AM88" s="685">
        <f t="shared" si="64"/>
        <v>0</v>
      </c>
      <c r="AN88" s="688">
        <f t="shared" si="50"/>
        <v>0</v>
      </c>
      <c r="AO88" s="687">
        <v>6695</v>
      </c>
      <c r="AP88" s="684">
        <f t="shared" si="51"/>
        <v>0.01797222897355245</v>
      </c>
      <c r="AQ88" s="685">
        <v>0</v>
      </c>
      <c r="AR88" s="684">
        <f t="shared" si="52"/>
        <v>0</v>
      </c>
      <c r="AS88" s="685">
        <v>0</v>
      </c>
      <c r="AT88" s="684">
        <f t="shared" si="53"/>
        <v>0</v>
      </c>
      <c r="AU88" s="685">
        <f t="shared" si="65"/>
        <v>6695</v>
      </c>
      <c r="AV88" s="688">
        <f t="shared" si="54"/>
        <v>0.005066317835612115</v>
      </c>
      <c r="AW88" s="687">
        <v>1136</v>
      </c>
      <c r="AX88" s="684">
        <f t="shared" si="55"/>
        <v>0.001911235236717252</v>
      </c>
      <c r="AY88" s="685">
        <v>0</v>
      </c>
      <c r="AZ88" s="684">
        <f t="shared" si="56"/>
        <v>0</v>
      </c>
      <c r="BA88" s="685">
        <v>0</v>
      </c>
      <c r="BB88" s="684">
        <f t="shared" si="57"/>
        <v>0</v>
      </c>
      <c r="BC88" s="685">
        <f t="shared" si="66"/>
        <v>1136</v>
      </c>
      <c r="BD88" s="689">
        <f t="shared" si="58"/>
        <v>0.000824113467192188</v>
      </c>
      <c r="BE88" s="671"/>
      <c r="BF88"/>
      <c r="BG88"/>
      <c r="BH88"/>
    </row>
    <row r="89" spans="1:60" ht="11.25" customHeight="1">
      <c r="A89" s="690">
        <v>56000</v>
      </c>
      <c r="B89" s="691" t="s">
        <v>147</v>
      </c>
      <c r="C89" s="789">
        <v>0</v>
      </c>
      <c r="D89" s="695">
        <f t="shared" si="36"/>
        <v>0</v>
      </c>
      <c r="E89" s="711">
        <v>0</v>
      </c>
      <c r="F89" s="716">
        <f t="shared" si="37"/>
        <v>0</v>
      </c>
      <c r="G89" s="711">
        <v>0</v>
      </c>
      <c r="H89" s="716">
        <f t="shared" si="59"/>
        <v>0</v>
      </c>
      <c r="I89" s="711">
        <v>5909</v>
      </c>
      <c r="J89" s="717">
        <f t="shared" si="60"/>
        <v>0.0012809649789919466</v>
      </c>
      <c r="K89" s="597"/>
      <c r="L89" s="713">
        <v>3.26</v>
      </c>
      <c r="M89" s="714">
        <v>6.555</v>
      </c>
      <c r="N89" s="715">
        <f t="shared" si="38"/>
        <v>17.982499999999998</v>
      </c>
      <c r="O89" s="712">
        <f t="shared" si="61"/>
        <v>0.0018161886771834081</v>
      </c>
      <c r="P89" s="696">
        <v>244.40358055233963</v>
      </c>
      <c r="Q89" s="693">
        <f t="shared" si="39"/>
        <v>0.004214539319022326</v>
      </c>
      <c r="R89" s="694">
        <v>0</v>
      </c>
      <c r="S89" s="693">
        <f t="shared" si="40"/>
        <v>0</v>
      </c>
      <c r="T89" s="694">
        <v>0</v>
      </c>
      <c r="U89" s="693">
        <f t="shared" si="41"/>
        <v>0</v>
      </c>
      <c r="V89" s="718">
        <f t="shared" si="62"/>
        <v>244.40358055233963</v>
      </c>
      <c r="W89" s="717">
        <f t="shared" si="42"/>
        <v>0.002483339867893887</v>
      </c>
      <c r="Y89" s="692">
        <v>27</v>
      </c>
      <c r="Z89" s="693">
        <f t="shared" si="43"/>
        <v>0.0018659295093296476</v>
      </c>
      <c r="AA89" s="694">
        <v>0</v>
      </c>
      <c r="AB89" s="693">
        <f t="shared" si="44"/>
        <v>0</v>
      </c>
      <c r="AC89" s="694">
        <v>0</v>
      </c>
      <c r="AD89" s="693">
        <f t="shared" si="45"/>
        <v>0</v>
      </c>
      <c r="AE89" s="694">
        <f t="shared" si="63"/>
        <v>27</v>
      </c>
      <c r="AF89" s="695">
        <f t="shared" si="46"/>
        <v>0.0009789702683103698</v>
      </c>
      <c r="AG89" s="696"/>
      <c r="AH89" s="693">
        <f t="shared" si="47"/>
        <v>0</v>
      </c>
      <c r="AI89" s="694">
        <v>0</v>
      </c>
      <c r="AJ89" s="693">
        <f t="shared" si="48"/>
        <v>0</v>
      </c>
      <c r="AK89" s="694"/>
      <c r="AL89" s="693">
        <f t="shared" si="49"/>
        <v>0</v>
      </c>
      <c r="AM89" s="694">
        <f t="shared" si="64"/>
        <v>0</v>
      </c>
      <c r="AN89" s="716">
        <f t="shared" si="50"/>
        <v>0</v>
      </c>
      <c r="AO89" s="696">
        <v>1772.6999999999998</v>
      </c>
      <c r="AP89" s="693">
        <f t="shared" si="51"/>
        <v>0.0047586811503235885</v>
      </c>
      <c r="AQ89" s="694">
        <v>0</v>
      </c>
      <c r="AR89" s="693">
        <f t="shared" si="52"/>
        <v>0</v>
      </c>
      <c r="AS89" s="694">
        <v>0</v>
      </c>
      <c r="AT89" s="693">
        <f t="shared" si="53"/>
        <v>0</v>
      </c>
      <c r="AU89" s="694">
        <f t="shared" si="65"/>
        <v>1772.6999999999998</v>
      </c>
      <c r="AV89" s="716">
        <f t="shared" si="54"/>
        <v>0.0013414580473770866</v>
      </c>
      <c r="AW89" s="696">
        <v>493.61999999999995</v>
      </c>
      <c r="AX89" s="693">
        <f t="shared" si="55"/>
        <v>0.0008304788182644101</v>
      </c>
      <c r="AY89" s="694">
        <v>0</v>
      </c>
      <c r="AZ89" s="693">
        <f t="shared" si="56"/>
        <v>0</v>
      </c>
      <c r="BA89" s="694">
        <v>0</v>
      </c>
      <c r="BB89" s="693">
        <f t="shared" si="57"/>
        <v>0</v>
      </c>
      <c r="BC89" s="694">
        <f t="shared" si="66"/>
        <v>493.61999999999995</v>
      </c>
      <c r="BD89" s="717">
        <f t="shared" si="58"/>
        <v>0.00035809761415088714</v>
      </c>
      <c r="BE89" s="671"/>
      <c r="BF89"/>
      <c r="BG89"/>
      <c r="BH89"/>
    </row>
    <row r="90" spans="7:60" ht="9" customHeight="1">
      <c r="G90" s="719"/>
      <c r="H90" s="597"/>
      <c r="I90" s="597"/>
      <c r="J90" s="597"/>
      <c r="K90" s="597"/>
      <c r="L90" s="597"/>
      <c r="M90" s="597"/>
      <c r="O90" s="597"/>
      <c r="P90" s="672"/>
      <c r="BD90" s="720"/>
      <c r="BE90" s="671"/>
      <c r="BF90"/>
      <c r="BG90"/>
      <c r="BH90"/>
    </row>
    <row r="91" spans="1:59" ht="14.25">
      <c r="A91" s="674" t="s">
        <v>367</v>
      </c>
      <c r="B91" s="675" t="s">
        <v>354</v>
      </c>
      <c r="C91" s="788"/>
      <c r="D91" s="787"/>
      <c r="E91" s="697"/>
      <c r="F91" s="790"/>
      <c r="G91" s="697">
        <f>SUM(G92:G117)</f>
        <v>4539174.95</v>
      </c>
      <c r="H91" s="790">
        <f>SUM(H92:H117)</f>
        <v>1</v>
      </c>
      <c r="I91" s="697">
        <f>SUM(I92:I117)</f>
        <v>4514237.020000001</v>
      </c>
      <c r="J91" s="791">
        <f>SUM(J92:J117)</f>
        <v>0.9999999999999997</v>
      </c>
      <c r="K91" s="597"/>
      <c r="L91" s="698">
        <f>SUM(L92:L117)</f>
        <v>1964.074</v>
      </c>
      <c r="M91" s="699">
        <f>SUM(M92:M117)</f>
        <v>3457.411</v>
      </c>
      <c r="N91" s="700">
        <f>SUM(N92:N117)</f>
        <v>10096.301500000001</v>
      </c>
      <c r="O91" s="701">
        <f>SUM(O92:O117)</f>
        <v>1.0000000000000002</v>
      </c>
      <c r="P91" s="703"/>
      <c r="Q91" s="677"/>
      <c r="R91" s="676"/>
      <c r="S91" s="677"/>
      <c r="T91" s="676"/>
      <c r="U91" s="677"/>
      <c r="V91" s="676"/>
      <c r="W91" s="680"/>
      <c r="Y91" s="702">
        <f aca="true" t="shared" si="67" ref="Y91:BD91">SUM(Y92:Y117)</f>
        <v>13843</v>
      </c>
      <c r="Z91" s="677">
        <f t="shared" si="67"/>
        <v>0.9999999999999999</v>
      </c>
      <c r="AA91" s="676">
        <f t="shared" si="67"/>
        <v>9589</v>
      </c>
      <c r="AB91" s="677">
        <f t="shared" si="67"/>
        <v>1.0000000000000002</v>
      </c>
      <c r="AC91" s="676">
        <f t="shared" si="67"/>
        <v>2935</v>
      </c>
      <c r="AD91" s="677">
        <f t="shared" si="67"/>
        <v>1.0000000000000002</v>
      </c>
      <c r="AE91" s="676">
        <f>SUM(AE92:AE117)</f>
        <v>26367</v>
      </c>
      <c r="AF91" s="678">
        <f>SUM(AF92:AF117)</f>
        <v>0.9999999999999999</v>
      </c>
      <c r="AG91" s="703">
        <f t="shared" si="67"/>
        <v>246</v>
      </c>
      <c r="AH91" s="677">
        <f t="shared" si="67"/>
        <v>1.0000000000000002</v>
      </c>
      <c r="AI91" s="676">
        <f t="shared" si="67"/>
        <v>2991</v>
      </c>
      <c r="AJ91" s="677">
        <f t="shared" si="67"/>
        <v>1</v>
      </c>
      <c r="AK91" s="676">
        <f t="shared" si="67"/>
        <v>185</v>
      </c>
      <c r="AL91" s="677">
        <f t="shared" si="67"/>
        <v>1</v>
      </c>
      <c r="AM91" s="676">
        <f t="shared" si="67"/>
        <v>3422</v>
      </c>
      <c r="AN91" s="679">
        <f t="shared" si="67"/>
        <v>1</v>
      </c>
      <c r="AO91" s="703">
        <f t="shared" si="67"/>
        <v>335698.9000000001</v>
      </c>
      <c r="AP91" s="677">
        <f t="shared" si="67"/>
        <v>0.9999999999999998</v>
      </c>
      <c r="AQ91" s="676">
        <f t="shared" si="67"/>
        <v>806239.4200000003</v>
      </c>
      <c r="AR91" s="677">
        <f t="shared" si="67"/>
        <v>0.9999999999999998</v>
      </c>
      <c r="AS91" s="676">
        <f t="shared" si="67"/>
        <v>69781.55999999998</v>
      </c>
      <c r="AT91" s="677">
        <f t="shared" si="67"/>
        <v>1.0000000000000002</v>
      </c>
      <c r="AU91" s="676">
        <f t="shared" si="67"/>
        <v>1211719.8799999997</v>
      </c>
      <c r="AV91" s="679">
        <f t="shared" si="67"/>
        <v>1</v>
      </c>
      <c r="AW91" s="703">
        <f t="shared" si="67"/>
        <v>507200.07999999984</v>
      </c>
      <c r="AX91" s="677">
        <f t="shared" si="67"/>
        <v>1.0000000000000002</v>
      </c>
      <c r="AY91" s="676">
        <f t="shared" si="67"/>
        <v>741857.1800000002</v>
      </c>
      <c r="AZ91" s="677">
        <f t="shared" si="67"/>
        <v>0.9999999999999998</v>
      </c>
      <c r="BA91" s="676">
        <f t="shared" si="67"/>
        <v>19198.320000000003</v>
      </c>
      <c r="BB91" s="677">
        <f t="shared" si="67"/>
        <v>0.9999999999999997</v>
      </c>
      <c r="BC91" s="676">
        <f t="shared" si="67"/>
        <v>1268255.58</v>
      </c>
      <c r="BD91" s="680">
        <f t="shared" si="67"/>
        <v>0.9999999999999999</v>
      </c>
      <c r="BE91" s="671"/>
      <c r="BF91"/>
      <c r="BG91" s="721"/>
    </row>
    <row r="92" spans="1:59" ht="11.25" customHeight="1">
      <c r="A92" s="681">
        <v>11000</v>
      </c>
      <c r="B92" s="682" t="s">
        <v>355</v>
      </c>
      <c r="C92" s="786"/>
      <c r="D92" s="686"/>
      <c r="E92" s="704"/>
      <c r="F92" s="688"/>
      <c r="G92" s="704">
        <v>1163972.84</v>
      </c>
      <c r="H92" s="688">
        <f>G92/G$91</f>
        <v>0.2564282832940819</v>
      </c>
      <c r="I92" s="704">
        <v>1360671.52</v>
      </c>
      <c r="J92" s="689">
        <f>I92/I$91</f>
        <v>0.30141782852155147</v>
      </c>
      <c r="K92" s="597"/>
      <c r="L92" s="706">
        <v>425.098</v>
      </c>
      <c r="M92" s="707">
        <v>761.228</v>
      </c>
      <c r="N92" s="708">
        <f>L92*2.5+M92*1.5</f>
        <v>2204.587</v>
      </c>
      <c r="O92" s="705">
        <f aca="true" t="shared" si="68" ref="O92:O117">N92/N$91</f>
        <v>0.2183558999302863</v>
      </c>
      <c r="P92" s="687"/>
      <c r="Q92" s="684"/>
      <c r="R92" s="685"/>
      <c r="S92" s="684"/>
      <c r="T92" s="685"/>
      <c r="U92" s="684"/>
      <c r="V92" s="709"/>
      <c r="W92" s="689"/>
      <c r="Y92" s="683">
        <v>1650</v>
      </c>
      <c r="Z92" s="684">
        <f aca="true" t="shared" si="69" ref="Z92:Z117">Y92/Y$91</f>
        <v>0.11919381636928411</v>
      </c>
      <c r="AA92" s="685">
        <v>2349</v>
      </c>
      <c r="AB92" s="684">
        <f aca="true" t="shared" si="70" ref="AB92:AB117">AA92/AA$91</f>
        <v>0.24496819272082596</v>
      </c>
      <c r="AC92" s="685">
        <v>1127</v>
      </c>
      <c r="AD92" s="684">
        <f>AC92/AC$91</f>
        <v>0.3839863713798978</v>
      </c>
      <c r="AE92" s="685">
        <f>Y92+AA92+AC92</f>
        <v>5126</v>
      </c>
      <c r="AF92" s="686">
        <f aca="true" t="shared" si="71" ref="AF92:AF117">AE92/AE$91</f>
        <v>0.19440967876512308</v>
      </c>
      <c r="AG92" s="687">
        <v>68</v>
      </c>
      <c r="AH92" s="684">
        <f aca="true" t="shared" si="72" ref="AH92:AH117">AG92/AG$91</f>
        <v>0.2764227642276423</v>
      </c>
      <c r="AI92" s="685">
        <v>2089</v>
      </c>
      <c r="AJ92" s="684">
        <f>AI92/AI$91</f>
        <v>0.698428619190906</v>
      </c>
      <c r="AK92" s="685">
        <v>44</v>
      </c>
      <c r="AL92" s="684">
        <f>AK92/AK$91</f>
        <v>0.23783783783783785</v>
      </c>
      <c r="AM92" s="685">
        <f>AG92+AI92+AK92</f>
        <v>2201</v>
      </c>
      <c r="AN92" s="688">
        <f>AM92/AM$91</f>
        <v>0.6431911163062537</v>
      </c>
      <c r="AO92" s="687">
        <v>12750</v>
      </c>
      <c r="AP92" s="684">
        <f>AO92/AO$91</f>
        <v>0.03798046404084135</v>
      </c>
      <c r="AQ92" s="685">
        <v>112158.18000000001</v>
      </c>
      <c r="AR92" s="684">
        <f>AQ92/AQ$91</f>
        <v>0.13911274643455163</v>
      </c>
      <c r="AS92" s="685">
        <v>4641</v>
      </c>
      <c r="AT92" s="684">
        <f aca="true" t="shared" si="73" ref="AT92:AT117">AS92/AS$91</f>
        <v>0.06650754153389522</v>
      </c>
      <c r="AU92" s="685">
        <f>AO92+AQ92+AS92</f>
        <v>129549.18000000001</v>
      </c>
      <c r="AV92" s="688">
        <f>AU92/AU$91</f>
        <v>0.1069134724438127</v>
      </c>
      <c r="AW92" s="687">
        <v>191002.14</v>
      </c>
      <c r="AX92" s="684">
        <f aca="true" t="shared" si="74" ref="AX92:AX117">AW92/AW$91</f>
        <v>0.37658144691144385</v>
      </c>
      <c r="AY92" s="685">
        <v>154118.94</v>
      </c>
      <c r="AZ92" s="684">
        <f aca="true" t="shared" si="75" ref="AZ92:AZ117">AY92/AY$91</f>
        <v>0.20774745349232848</v>
      </c>
      <c r="BA92" s="685">
        <v>6976.8</v>
      </c>
      <c r="BB92" s="684">
        <f aca="true" t="shared" si="76" ref="BB92:BB117">BA92/BA$91</f>
        <v>0.3634067980948332</v>
      </c>
      <c r="BC92" s="685">
        <f>AW92+AY92+BA92</f>
        <v>352097.88</v>
      </c>
      <c r="BD92" s="689">
        <f>BC92/BC$91</f>
        <v>0.27762375782332455</v>
      </c>
      <c r="BE92" s="671"/>
      <c r="BF92"/>
      <c r="BG92" s="721"/>
    </row>
    <row r="93" spans="1:59" ht="11.25" customHeight="1">
      <c r="A93" s="639">
        <v>12000</v>
      </c>
      <c r="B93" s="640" t="s">
        <v>123</v>
      </c>
      <c r="C93" s="786"/>
      <c r="D93" s="686"/>
      <c r="E93" s="704"/>
      <c r="F93" s="688"/>
      <c r="G93" s="704">
        <v>152234.86</v>
      </c>
      <c r="H93" s="688">
        <f aca="true" t="shared" si="77" ref="H93:H117">G93/G$91</f>
        <v>0.033538002319121886</v>
      </c>
      <c r="I93" s="704">
        <v>106482.33</v>
      </c>
      <c r="J93" s="689">
        <f aca="true" t="shared" si="78" ref="J93:J117">I93/I$91</f>
        <v>0.023588112349492887</v>
      </c>
      <c r="K93" s="597"/>
      <c r="L93" s="706">
        <v>53.29</v>
      </c>
      <c r="M93" s="707">
        <v>99.74</v>
      </c>
      <c r="N93" s="708">
        <f aca="true" t="shared" si="79" ref="N93:N117">L93*2.5+M93*1.5</f>
        <v>282.835</v>
      </c>
      <c r="O93" s="705">
        <f t="shared" si="68"/>
        <v>0.028013723639295038</v>
      </c>
      <c r="P93" s="687"/>
      <c r="Q93" s="684"/>
      <c r="R93" s="685"/>
      <c r="S93" s="684"/>
      <c r="T93" s="685"/>
      <c r="U93" s="684"/>
      <c r="V93" s="709"/>
      <c r="W93" s="689"/>
      <c r="Y93" s="683">
        <v>129</v>
      </c>
      <c r="Z93" s="684">
        <f t="shared" si="69"/>
        <v>0.009318789279780394</v>
      </c>
      <c r="AA93" s="685">
        <v>19</v>
      </c>
      <c r="AB93" s="684">
        <f t="shared" si="70"/>
        <v>0.0019814370633016998</v>
      </c>
      <c r="AC93" s="685">
        <v>70</v>
      </c>
      <c r="AD93" s="684">
        <f aca="true" t="shared" si="80" ref="AD93:AD117">AC93/AC$91</f>
        <v>0.02385008517887564</v>
      </c>
      <c r="AE93" s="685">
        <f aca="true" t="shared" si="81" ref="AE93:AE117">Y93+AA93+AC93</f>
        <v>218</v>
      </c>
      <c r="AF93" s="686">
        <f t="shared" si="71"/>
        <v>0.00826791064588311</v>
      </c>
      <c r="AG93" s="687"/>
      <c r="AH93" s="684">
        <f t="shared" si="72"/>
        <v>0</v>
      </c>
      <c r="AI93" s="685">
        <v>0</v>
      </c>
      <c r="AJ93" s="684">
        <f>AI93/AI$91</f>
        <v>0</v>
      </c>
      <c r="AK93" s="685"/>
      <c r="AL93" s="684">
        <f>AK93/AK$91</f>
        <v>0</v>
      </c>
      <c r="AM93" s="685">
        <f aca="true" t="shared" si="82" ref="AM93:AM117">AG93+AI93+AK93</f>
        <v>0</v>
      </c>
      <c r="AN93" s="688">
        <f aca="true" t="shared" si="83" ref="AN93:AN117">AM93/AM$91</f>
        <v>0</v>
      </c>
      <c r="AO93" s="687">
        <v>14930.76</v>
      </c>
      <c r="AP93" s="684">
        <f aca="true" t="shared" si="84" ref="AP93:AR117">AO93/AO$91</f>
        <v>0.044476642610386856</v>
      </c>
      <c r="AQ93" s="685">
        <v>13847.52</v>
      </c>
      <c r="AR93" s="684">
        <f t="shared" si="84"/>
        <v>0.017175443989082047</v>
      </c>
      <c r="AS93" s="685">
        <v>1097.52</v>
      </c>
      <c r="AT93" s="684">
        <f t="shared" si="73"/>
        <v>0.015727937294609067</v>
      </c>
      <c r="AU93" s="685">
        <f aca="true" t="shared" si="85" ref="AU93:AU117">AO93+AQ93+AS93</f>
        <v>29875.8</v>
      </c>
      <c r="AV93" s="688">
        <f aca="true" t="shared" si="86" ref="AV93:AV117">AU93/AU$91</f>
        <v>0.02465569847711008</v>
      </c>
      <c r="AW93" s="687">
        <v>4717.5</v>
      </c>
      <c r="AX93" s="684">
        <f t="shared" si="74"/>
        <v>0.00930106320172505</v>
      </c>
      <c r="AY93" s="685">
        <v>2812.14</v>
      </c>
      <c r="AZ93" s="684">
        <f t="shared" si="75"/>
        <v>0.0037906757200894103</v>
      </c>
      <c r="BA93" s="685">
        <v>380.46</v>
      </c>
      <c r="BB93" s="684">
        <f t="shared" si="76"/>
        <v>0.01981735901891415</v>
      </c>
      <c r="BC93" s="685">
        <f aca="true" t="shared" si="87" ref="BC93:BC117">AW93+AY93+BA93</f>
        <v>7910.099999999999</v>
      </c>
      <c r="BD93" s="689">
        <f aca="true" t="shared" si="88" ref="BD93:BD117">BC93/BC$91</f>
        <v>0.006236992073790047</v>
      </c>
      <c r="BE93" s="671"/>
      <c r="BF93" s="671"/>
      <c r="BG93" s="721"/>
    </row>
    <row r="94" spans="1:59" ht="11.25" customHeight="1">
      <c r="A94" s="639">
        <v>13000</v>
      </c>
      <c r="B94" s="640" t="s">
        <v>356</v>
      </c>
      <c r="C94" s="786"/>
      <c r="D94" s="686"/>
      <c r="E94" s="704"/>
      <c r="F94" s="688"/>
      <c r="G94" s="704">
        <v>41970.509999999995</v>
      </c>
      <c r="H94" s="688">
        <f t="shared" si="77"/>
        <v>0.00924628604588153</v>
      </c>
      <c r="I94" s="704">
        <v>53524.42</v>
      </c>
      <c r="J94" s="689">
        <f t="shared" si="78"/>
        <v>0.011856803212339962</v>
      </c>
      <c r="K94" s="597"/>
      <c r="L94" s="706">
        <v>38.94</v>
      </c>
      <c r="M94" s="707">
        <v>82.613</v>
      </c>
      <c r="N94" s="708">
        <f t="shared" si="79"/>
        <v>221.2695</v>
      </c>
      <c r="O94" s="705">
        <f t="shared" si="68"/>
        <v>0.021915896628087024</v>
      </c>
      <c r="P94" s="687"/>
      <c r="Q94" s="684"/>
      <c r="R94" s="685"/>
      <c r="S94" s="684"/>
      <c r="T94" s="685"/>
      <c r="U94" s="684"/>
      <c r="V94" s="709"/>
      <c r="W94" s="689"/>
      <c r="Y94" s="683">
        <v>177</v>
      </c>
      <c r="Z94" s="684">
        <f t="shared" si="69"/>
        <v>0.01278624575597775</v>
      </c>
      <c r="AA94" s="685">
        <v>32</v>
      </c>
      <c r="AB94" s="684">
        <f t="shared" si="70"/>
        <v>0.0033371571592449682</v>
      </c>
      <c r="AC94" s="685">
        <v>3</v>
      </c>
      <c r="AD94" s="684">
        <f t="shared" si="80"/>
        <v>0.0010221465076660989</v>
      </c>
      <c r="AE94" s="685">
        <f t="shared" si="81"/>
        <v>212</v>
      </c>
      <c r="AF94" s="686">
        <f t="shared" si="71"/>
        <v>0.00804035347214321</v>
      </c>
      <c r="AG94" s="687"/>
      <c r="AH94" s="684">
        <f t="shared" si="72"/>
        <v>0</v>
      </c>
      <c r="AI94" s="685">
        <v>6</v>
      </c>
      <c r="AJ94" s="684">
        <f>AI94/AI$91</f>
        <v>0.0020060180541624875</v>
      </c>
      <c r="AK94" s="685"/>
      <c r="AL94" s="684">
        <f>AK94/AK$91</f>
        <v>0</v>
      </c>
      <c r="AM94" s="685">
        <f t="shared" si="82"/>
        <v>6</v>
      </c>
      <c r="AN94" s="688">
        <f t="shared" si="83"/>
        <v>0.0017533606078316774</v>
      </c>
      <c r="AO94" s="687">
        <v>23503.86</v>
      </c>
      <c r="AP94" s="684">
        <f t="shared" si="84"/>
        <v>0.07001470663144858</v>
      </c>
      <c r="AQ94" s="685">
        <v>15110.28</v>
      </c>
      <c r="AR94" s="684">
        <f t="shared" si="84"/>
        <v>0.018741678495452375</v>
      </c>
      <c r="AS94" s="685">
        <v>66.3</v>
      </c>
      <c r="AT94" s="684">
        <f t="shared" si="73"/>
        <v>0.000950107736198503</v>
      </c>
      <c r="AU94" s="685">
        <f t="shared" si="85"/>
        <v>38680.44</v>
      </c>
      <c r="AV94" s="688">
        <f t="shared" si="86"/>
        <v>0.03192193231986919</v>
      </c>
      <c r="AW94" s="687">
        <v>11750.4</v>
      </c>
      <c r="AX94" s="684">
        <f t="shared" si="74"/>
        <v>0.023167188774891368</v>
      </c>
      <c r="AY94" s="685">
        <v>1167.9</v>
      </c>
      <c r="AZ94" s="684">
        <f t="shared" si="75"/>
        <v>0.0015742922377592946</v>
      </c>
      <c r="BA94" s="685">
        <v>0</v>
      </c>
      <c r="BB94" s="684">
        <f t="shared" si="76"/>
        <v>0</v>
      </c>
      <c r="BC94" s="685">
        <f t="shared" si="87"/>
        <v>12918.3</v>
      </c>
      <c r="BD94" s="689">
        <f t="shared" si="88"/>
        <v>0.01018588067241147</v>
      </c>
      <c r="BE94" s="671"/>
      <c r="BF94" s="671"/>
      <c r="BG94" s="721"/>
    </row>
    <row r="95" spans="1:59" ht="11.25" customHeight="1">
      <c r="A95" s="639">
        <v>14000</v>
      </c>
      <c r="B95" s="640" t="s">
        <v>125</v>
      </c>
      <c r="C95" s="786"/>
      <c r="D95" s="686"/>
      <c r="E95" s="704"/>
      <c r="F95" s="688"/>
      <c r="G95" s="704">
        <v>502455.88</v>
      </c>
      <c r="H95" s="688">
        <f t="shared" si="77"/>
        <v>0.11069321749759832</v>
      </c>
      <c r="I95" s="704">
        <v>438086.18000000005</v>
      </c>
      <c r="J95" s="689">
        <f t="shared" si="78"/>
        <v>0.0970454537630813</v>
      </c>
      <c r="K95" s="597"/>
      <c r="L95" s="706">
        <v>193.343</v>
      </c>
      <c r="M95" s="707">
        <v>301.944</v>
      </c>
      <c r="N95" s="708">
        <f t="shared" si="79"/>
        <v>936.2735</v>
      </c>
      <c r="O95" s="705">
        <f t="shared" si="68"/>
        <v>0.09273430473525378</v>
      </c>
      <c r="P95" s="687"/>
      <c r="Q95" s="684"/>
      <c r="R95" s="685"/>
      <c r="S95" s="684"/>
      <c r="T95" s="685"/>
      <c r="U95" s="684"/>
      <c r="V95" s="709"/>
      <c r="W95" s="689"/>
      <c r="Y95" s="683">
        <v>2855</v>
      </c>
      <c r="Z95" s="684">
        <f t="shared" si="69"/>
        <v>0.20624142165715523</v>
      </c>
      <c r="AA95" s="685">
        <v>2372</v>
      </c>
      <c r="AB95" s="684">
        <f t="shared" si="70"/>
        <v>0.24736677442903326</v>
      </c>
      <c r="AC95" s="685">
        <v>438</v>
      </c>
      <c r="AD95" s="684">
        <f t="shared" si="80"/>
        <v>0.14923339011925044</v>
      </c>
      <c r="AE95" s="685">
        <f t="shared" si="81"/>
        <v>5665</v>
      </c>
      <c r="AF95" s="686">
        <f t="shared" si="71"/>
        <v>0.21485189820609094</v>
      </c>
      <c r="AG95" s="687"/>
      <c r="AH95" s="684">
        <f t="shared" si="72"/>
        <v>0</v>
      </c>
      <c r="AI95" s="685">
        <v>407</v>
      </c>
      <c r="AJ95" s="684">
        <f aca="true" t="shared" si="89" ref="AJ95:AJ117">AI95/AI$91</f>
        <v>0.13607489134068873</v>
      </c>
      <c r="AK95" s="685">
        <v>8</v>
      </c>
      <c r="AL95" s="684">
        <f>AK95/AK$91</f>
        <v>0.043243243243243246</v>
      </c>
      <c r="AM95" s="685">
        <f t="shared" si="82"/>
        <v>415</v>
      </c>
      <c r="AN95" s="688">
        <f t="shared" si="83"/>
        <v>0.12127410870835768</v>
      </c>
      <c r="AO95" s="687">
        <v>57421.799999999996</v>
      </c>
      <c r="AP95" s="684">
        <f t="shared" si="84"/>
        <v>0.1710514988282654</v>
      </c>
      <c r="AQ95" s="685">
        <v>147834.06</v>
      </c>
      <c r="AR95" s="684">
        <f t="shared" si="84"/>
        <v>0.18336248058920257</v>
      </c>
      <c r="AS95" s="685">
        <v>17410.079999999998</v>
      </c>
      <c r="AT95" s="684">
        <f t="shared" si="73"/>
        <v>0.24949399239569883</v>
      </c>
      <c r="AU95" s="685">
        <f t="shared" si="85"/>
        <v>222665.93999999997</v>
      </c>
      <c r="AV95" s="688">
        <f t="shared" si="86"/>
        <v>0.18376024333280727</v>
      </c>
      <c r="AW95" s="687">
        <v>3034.68</v>
      </c>
      <c r="AX95" s="684">
        <f t="shared" si="74"/>
        <v>0.005983200949021934</v>
      </c>
      <c r="AY95" s="685">
        <v>197549.46</v>
      </c>
      <c r="AZ95" s="684">
        <f t="shared" si="75"/>
        <v>0.26629041994309466</v>
      </c>
      <c r="BA95" s="685">
        <v>207.48</v>
      </c>
      <c r="BB95" s="684">
        <f t="shared" si="76"/>
        <v>0.01080719562961759</v>
      </c>
      <c r="BC95" s="685">
        <f t="shared" si="87"/>
        <v>200791.62</v>
      </c>
      <c r="BD95" s="689">
        <f t="shared" si="88"/>
        <v>0.15832110117741408</v>
      </c>
      <c r="BE95" s="671"/>
      <c r="BF95" s="671"/>
      <c r="BG95" s="721"/>
    </row>
    <row r="96" spans="1:59" ht="11.25" customHeight="1">
      <c r="A96" s="639">
        <v>15000</v>
      </c>
      <c r="B96" s="640" t="s">
        <v>357</v>
      </c>
      <c r="C96" s="786"/>
      <c r="D96" s="686"/>
      <c r="E96" s="704"/>
      <c r="F96" s="688"/>
      <c r="G96" s="704">
        <v>278687.91000000003</v>
      </c>
      <c r="H96" s="688">
        <f t="shared" si="77"/>
        <v>0.06139615966994179</v>
      </c>
      <c r="I96" s="704">
        <v>190474.55</v>
      </c>
      <c r="J96" s="689">
        <f t="shared" si="78"/>
        <v>0.04219418456676427</v>
      </c>
      <c r="K96" s="597"/>
      <c r="L96" s="706">
        <v>129.465</v>
      </c>
      <c r="M96" s="707">
        <v>219.003</v>
      </c>
      <c r="N96" s="708">
        <f t="shared" si="79"/>
        <v>652.167</v>
      </c>
      <c r="O96" s="705">
        <f t="shared" si="68"/>
        <v>0.06459464389014134</v>
      </c>
      <c r="P96" s="687"/>
      <c r="Q96" s="684"/>
      <c r="R96" s="685"/>
      <c r="S96" s="684"/>
      <c r="T96" s="685"/>
      <c r="U96" s="684"/>
      <c r="V96" s="709"/>
      <c r="W96" s="689"/>
      <c r="Y96" s="683">
        <v>379</v>
      </c>
      <c r="Z96" s="684">
        <f t="shared" si="69"/>
        <v>0.027378458426641623</v>
      </c>
      <c r="AA96" s="685">
        <v>600</v>
      </c>
      <c r="AB96" s="684">
        <f t="shared" si="70"/>
        <v>0.06257169673584316</v>
      </c>
      <c r="AC96" s="685">
        <v>171</v>
      </c>
      <c r="AD96" s="684">
        <f t="shared" si="80"/>
        <v>0.05826235093696763</v>
      </c>
      <c r="AE96" s="685">
        <f t="shared" si="81"/>
        <v>1150</v>
      </c>
      <c r="AF96" s="686">
        <f t="shared" si="71"/>
        <v>0.04361512496681458</v>
      </c>
      <c r="AG96" s="687"/>
      <c r="AH96" s="684">
        <f t="shared" si="72"/>
        <v>0</v>
      </c>
      <c r="AI96" s="685">
        <v>238</v>
      </c>
      <c r="AJ96" s="684">
        <f t="shared" si="89"/>
        <v>0.07957204948177866</v>
      </c>
      <c r="AK96" s="685">
        <v>7</v>
      </c>
      <c r="AL96" s="684">
        <f aca="true" t="shared" si="90" ref="AL96:AL117">AK96/AK$91</f>
        <v>0.03783783783783784</v>
      </c>
      <c r="AM96" s="685">
        <f t="shared" si="82"/>
        <v>245</v>
      </c>
      <c r="AN96" s="688">
        <f t="shared" si="83"/>
        <v>0.07159555815312682</v>
      </c>
      <c r="AO96" s="687">
        <v>39318.96</v>
      </c>
      <c r="AP96" s="684">
        <f t="shared" si="84"/>
        <v>0.1171256742277082</v>
      </c>
      <c r="AQ96" s="685">
        <v>59170.2</v>
      </c>
      <c r="AR96" s="684">
        <f t="shared" si="84"/>
        <v>0.07339035841239315</v>
      </c>
      <c r="AS96" s="685">
        <v>4280.9400000000005</v>
      </c>
      <c r="AT96" s="684">
        <f t="shared" si="73"/>
        <v>0.061347725674232585</v>
      </c>
      <c r="AU96" s="685">
        <f t="shared" si="85"/>
        <v>102770.1</v>
      </c>
      <c r="AV96" s="688">
        <f t="shared" si="86"/>
        <v>0.08481341413660724</v>
      </c>
      <c r="AW96" s="687">
        <v>25201.14</v>
      </c>
      <c r="AX96" s="684">
        <f t="shared" si="74"/>
        <v>0.049686782383788285</v>
      </c>
      <c r="AY96" s="685">
        <v>21094.620000000003</v>
      </c>
      <c r="AZ96" s="684">
        <f t="shared" si="75"/>
        <v>0.028434880147685568</v>
      </c>
      <c r="BA96" s="685">
        <v>624.24</v>
      </c>
      <c r="BB96" s="684">
        <f t="shared" si="76"/>
        <v>0.0325153450926956</v>
      </c>
      <c r="BC96" s="685">
        <f t="shared" si="87"/>
        <v>46920</v>
      </c>
      <c r="BD96" s="689">
        <f t="shared" si="88"/>
        <v>0.03699569766529235</v>
      </c>
      <c r="BE96" s="671"/>
      <c r="BF96" s="671"/>
      <c r="BG96" s="721"/>
    </row>
    <row r="97" spans="1:59" ht="11.25" customHeight="1">
      <c r="A97" s="639">
        <v>16000</v>
      </c>
      <c r="B97" s="640" t="s">
        <v>265</v>
      </c>
      <c r="C97" s="786"/>
      <c r="D97" s="686"/>
      <c r="E97" s="704"/>
      <c r="F97" s="688"/>
      <c r="G97" s="704">
        <v>41319.54</v>
      </c>
      <c r="H97" s="688">
        <f t="shared" si="77"/>
        <v>0.009102874521282773</v>
      </c>
      <c r="I97" s="704">
        <v>81571</v>
      </c>
      <c r="J97" s="689">
        <f t="shared" si="78"/>
        <v>0.018069720229267</v>
      </c>
      <c r="K97" s="597"/>
      <c r="L97" s="706">
        <v>33.95</v>
      </c>
      <c r="M97" s="707">
        <v>39.539</v>
      </c>
      <c r="N97" s="708">
        <f t="shared" si="79"/>
        <v>144.1835</v>
      </c>
      <c r="O97" s="705">
        <f t="shared" si="68"/>
        <v>0.014280823527308488</v>
      </c>
      <c r="P97" s="687"/>
      <c r="Q97" s="684"/>
      <c r="R97" s="685"/>
      <c r="S97" s="684"/>
      <c r="T97" s="685"/>
      <c r="U97" s="684"/>
      <c r="V97" s="709"/>
      <c r="W97" s="689"/>
      <c r="Y97" s="683">
        <v>6</v>
      </c>
      <c r="Z97" s="684">
        <f t="shared" si="69"/>
        <v>0.0004334320595246695</v>
      </c>
      <c r="AA97" s="685">
        <v>356</v>
      </c>
      <c r="AB97" s="684">
        <f t="shared" si="70"/>
        <v>0.03712587339660027</v>
      </c>
      <c r="AC97" s="685">
        <v>37</v>
      </c>
      <c r="AD97" s="684">
        <f t="shared" si="80"/>
        <v>0.012606473594548553</v>
      </c>
      <c r="AE97" s="685">
        <f t="shared" si="81"/>
        <v>399</v>
      </c>
      <c r="AF97" s="686">
        <f t="shared" si="71"/>
        <v>0.015132552053703494</v>
      </c>
      <c r="AG97" s="687"/>
      <c r="AH97" s="684">
        <f t="shared" si="72"/>
        <v>0</v>
      </c>
      <c r="AI97" s="685">
        <v>143</v>
      </c>
      <c r="AJ97" s="684">
        <f t="shared" si="89"/>
        <v>0.04781009695753929</v>
      </c>
      <c r="AK97" s="685"/>
      <c r="AL97" s="684">
        <f t="shared" si="90"/>
        <v>0</v>
      </c>
      <c r="AM97" s="685">
        <f t="shared" si="82"/>
        <v>143</v>
      </c>
      <c r="AN97" s="688">
        <f t="shared" si="83"/>
        <v>0.04178842781998831</v>
      </c>
      <c r="AO97" s="687">
        <v>0</v>
      </c>
      <c r="AP97" s="684">
        <f t="shared" si="84"/>
        <v>0</v>
      </c>
      <c r="AQ97" s="685">
        <v>6159.780000000001</v>
      </c>
      <c r="AR97" s="684">
        <f t="shared" si="84"/>
        <v>0.0076401374668581675</v>
      </c>
      <c r="AS97" s="685">
        <v>401.88</v>
      </c>
      <c r="AT97" s="684">
        <f t="shared" si="73"/>
        <v>0.005759114585572465</v>
      </c>
      <c r="AU97" s="685">
        <f t="shared" si="85"/>
        <v>6561.660000000001</v>
      </c>
      <c r="AV97" s="688">
        <f t="shared" si="86"/>
        <v>0.005415162454873649</v>
      </c>
      <c r="AW97" s="687">
        <v>0</v>
      </c>
      <c r="AX97" s="684">
        <f t="shared" si="74"/>
        <v>0</v>
      </c>
      <c r="AY97" s="685">
        <v>2767.26</v>
      </c>
      <c r="AZ97" s="684">
        <f t="shared" si="75"/>
        <v>0.00373017890047246</v>
      </c>
      <c r="BA97" s="685">
        <v>0</v>
      </c>
      <c r="BB97" s="684">
        <f t="shared" si="76"/>
        <v>0</v>
      </c>
      <c r="BC97" s="685">
        <f t="shared" si="87"/>
        <v>2767.26</v>
      </c>
      <c r="BD97" s="689">
        <f t="shared" si="88"/>
        <v>0.0021819419079551774</v>
      </c>
      <c r="BE97" s="671"/>
      <c r="BF97" s="671"/>
      <c r="BG97" s="721"/>
    </row>
    <row r="98" spans="1:59" ht="11.25" customHeight="1">
      <c r="A98" s="639">
        <v>17000</v>
      </c>
      <c r="B98" s="640" t="s">
        <v>128</v>
      </c>
      <c r="C98" s="786"/>
      <c r="D98" s="686"/>
      <c r="E98" s="704"/>
      <c r="F98" s="688"/>
      <c r="G98" s="704">
        <v>51377.24</v>
      </c>
      <c r="H98" s="688">
        <f t="shared" si="77"/>
        <v>0.011318629611312954</v>
      </c>
      <c r="I98" s="704">
        <v>53946.81</v>
      </c>
      <c r="J98" s="689">
        <f t="shared" si="78"/>
        <v>0.011950371626698498</v>
      </c>
      <c r="K98" s="597"/>
      <c r="L98" s="706">
        <v>33.242</v>
      </c>
      <c r="M98" s="707">
        <v>92.578</v>
      </c>
      <c r="N98" s="708">
        <f t="shared" si="79"/>
        <v>221.972</v>
      </c>
      <c r="O98" s="705">
        <f t="shared" si="68"/>
        <v>0.021985476562877998</v>
      </c>
      <c r="P98" s="687"/>
      <c r="Q98" s="684"/>
      <c r="R98" s="685"/>
      <c r="S98" s="684"/>
      <c r="T98" s="685"/>
      <c r="U98" s="684"/>
      <c r="V98" s="709"/>
      <c r="W98" s="689"/>
      <c r="Y98" s="683">
        <v>164</v>
      </c>
      <c r="Z98" s="684">
        <f t="shared" si="69"/>
        <v>0.011847142960340966</v>
      </c>
      <c r="AA98" s="685">
        <v>92</v>
      </c>
      <c r="AB98" s="684">
        <f t="shared" si="70"/>
        <v>0.009594326832829283</v>
      </c>
      <c r="AC98" s="685">
        <v>30</v>
      </c>
      <c r="AD98" s="684">
        <f t="shared" si="80"/>
        <v>0.010221465076660987</v>
      </c>
      <c r="AE98" s="685">
        <f t="shared" si="81"/>
        <v>286</v>
      </c>
      <c r="AF98" s="686">
        <f t="shared" si="71"/>
        <v>0.01084689194826867</v>
      </c>
      <c r="AG98" s="687">
        <v>47</v>
      </c>
      <c r="AH98" s="684">
        <f t="shared" si="72"/>
        <v>0.1910569105691057</v>
      </c>
      <c r="AI98" s="685">
        <v>0</v>
      </c>
      <c r="AJ98" s="684">
        <f t="shared" si="89"/>
        <v>0</v>
      </c>
      <c r="AK98" s="685">
        <v>1</v>
      </c>
      <c r="AL98" s="684">
        <f t="shared" si="90"/>
        <v>0.005405405405405406</v>
      </c>
      <c r="AM98" s="685">
        <f t="shared" si="82"/>
        <v>48</v>
      </c>
      <c r="AN98" s="688">
        <f t="shared" si="83"/>
        <v>0.014026884862653419</v>
      </c>
      <c r="AO98" s="687">
        <v>20334.179999999997</v>
      </c>
      <c r="AP98" s="684">
        <f t="shared" si="84"/>
        <v>0.06057267390509767</v>
      </c>
      <c r="AQ98" s="685">
        <v>20885.94</v>
      </c>
      <c r="AR98" s="684">
        <f t="shared" si="84"/>
        <v>0.025905381803335778</v>
      </c>
      <c r="AS98" s="685">
        <v>940.4999999999999</v>
      </c>
      <c r="AT98" s="684">
        <f t="shared" si="73"/>
        <v>0.01347777263792899</v>
      </c>
      <c r="AU98" s="685">
        <f t="shared" si="85"/>
        <v>42160.619999999995</v>
      </c>
      <c r="AV98" s="688">
        <f t="shared" si="86"/>
        <v>0.03479403176912473</v>
      </c>
      <c r="AW98" s="687">
        <v>17559.42</v>
      </c>
      <c r="AX98" s="684">
        <f t="shared" si="74"/>
        <v>0.034620302110362454</v>
      </c>
      <c r="AY98" s="685">
        <v>2527.38</v>
      </c>
      <c r="AZ98" s="684">
        <f t="shared" si="75"/>
        <v>0.0034068282523059216</v>
      </c>
      <c r="BA98" s="685">
        <v>0</v>
      </c>
      <c r="BB98" s="684">
        <f t="shared" si="76"/>
        <v>0</v>
      </c>
      <c r="BC98" s="685">
        <f t="shared" si="87"/>
        <v>20086.8</v>
      </c>
      <c r="BD98" s="689">
        <f t="shared" si="88"/>
        <v>0.015838132563154184</v>
      </c>
      <c r="BE98" s="671"/>
      <c r="BF98" s="671"/>
      <c r="BG98" s="721"/>
    </row>
    <row r="99" spans="1:59" ht="11.25" customHeight="1">
      <c r="A99" s="639">
        <v>18000</v>
      </c>
      <c r="B99" s="640" t="s">
        <v>129</v>
      </c>
      <c r="C99" s="786"/>
      <c r="D99" s="686"/>
      <c r="E99" s="704"/>
      <c r="F99" s="688"/>
      <c r="G99" s="704">
        <v>14750.31</v>
      </c>
      <c r="H99" s="688">
        <f t="shared" si="77"/>
        <v>0.0032495574994305955</v>
      </c>
      <c r="I99" s="704">
        <v>43307.78999999999</v>
      </c>
      <c r="J99" s="689">
        <f t="shared" si="78"/>
        <v>0.009593601268193929</v>
      </c>
      <c r="K99" s="597"/>
      <c r="L99" s="706">
        <v>32.214</v>
      </c>
      <c r="M99" s="707">
        <v>66.651</v>
      </c>
      <c r="N99" s="708">
        <f t="shared" si="79"/>
        <v>180.51149999999998</v>
      </c>
      <c r="O99" s="705">
        <f t="shared" si="68"/>
        <v>0.017878972809993832</v>
      </c>
      <c r="P99" s="687"/>
      <c r="Q99" s="684"/>
      <c r="R99" s="685"/>
      <c r="S99" s="684"/>
      <c r="T99" s="685"/>
      <c r="U99" s="684"/>
      <c r="V99" s="709"/>
      <c r="W99" s="689"/>
      <c r="Y99" s="683">
        <v>61</v>
      </c>
      <c r="Z99" s="684">
        <f>Y99/Y$91</f>
        <v>0.00440655927183414</v>
      </c>
      <c r="AA99" s="685">
        <v>15</v>
      </c>
      <c r="AB99" s="684">
        <f t="shared" si="70"/>
        <v>0.0015642924183960787</v>
      </c>
      <c r="AC99" s="685">
        <v>10</v>
      </c>
      <c r="AD99" s="684">
        <f t="shared" si="80"/>
        <v>0.0034071550255536627</v>
      </c>
      <c r="AE99" s="685">
        <f t="shared" si="81"/>
        <v>86</v>
      </c>
      <c r="AF99" s="686">
        <f t="shared" si="71"/>
        <v>0.003261652823605264</v>
      </c>
      <c r="AG99" s="687">
        <v>22</v>
      </c>
      <c r="AH99" s="684">
        <f t="shared" si="72"/>
        <v>0.08943089430894309</v>
      </c>
      <c r="AI99" s="685">
        <v>2</v>
      </c>
      <c r="AJ99" s="684">
        <f t="shared" si="89"/>
        <v>0.0006686726847208291</v>
      </c>
      <c r="AK99" s="685">
        <v>3</v>
      </c>
      <c r="AL99" s="684">
        <f t="shared" si="90"/>
        <v>0.016216216216216217</v>
      </c>
      <c r="AM99" s="685">
        <f t="shared" si="82"/>
        <v>27</v>
      </c>
      <c r="AN99" s="688">
        <f t="shared" si="83"/>
        <v>0.007890122735242549</v>
      </c>
      <c r="AO99" s="687">
        <v>18012.18</v>
      </c>
      <c r="AP99" s="684">
        <f t="shared" si="84"/>
        <v>0.053655761159777396</v>
      </c>
      <c r="AQ99" s="685">
        <v>9592.08</v>
      </c>
      <c r="AR99" s="684">
        <f t="shared" si="84"/>
        <v>0.011897309610586887</v>
      </c>
      <c r="AS99" s="685">
        <v>138.72</v>
      </c>
      <c r="AT99" s="684">
        <f t="shared" si="73"/>
        <v>0.001987917724969176</v>
      </c>
      <c r="AU99" s="685">
        <f t="shared" si="85"/>
        <v>27742.980000000003</v>
      </c>
      <c r="AV99" s="688">
        <f t="shared" si="86"/>
        <v>0.02289553919013032</v>
      </c>
      <c r="AW99" s="687">
        <v>872.1</v>
      </c>
      <c r="AX99" s="684">
        <f t="shared" si="74"/>
        <v>0.0017194397918864686</v>
      </c>
      <c r="AY99" s="685">
        <v>12658.2</v>
      </c>
      <c r="AZ99" s="684">
        <f t="shared" si="75"/>
        <v>0.017062852987417332</v>
      </c>
      <c r="BA99" s="685">
        <v>0</v>
      </c>
      <c r="BB99" s="684">
        <f t="shared" si="76"/>
        <v>0</v>
      </c>
      <c r="BC99" s="685">
        <f t="shared" si="87"/>
        <v>13530.300000000001</v>
      </c>
      <c r="BD99" s="689">
        <f t="shared" si="88"/>
        <v>0.010668433250654415</v>
      </c>
      <c r="BE99" s="671"/>
      <c r="BF99" s="671"/>
      <c r="BG99" s="721"/>
    </row>
    <row r="100" spans="1:59" ht="11.25" customHeight="1">
      <c r="A100" s="639">
        <v>19000</v>
      </c>
      <c r="B100" s="640" t="s">
        <v>130</v>
      </c>
      <c r="C100" s="786"/>
      <c r="D100" s="686"/>
      <c r="E100" s="704"/>
      <c r="F100" s="688"/>
      <c r="G100" s="704">
        <v>16744</v>
      </c>
      <c r="H100" s="688">
        <f t="shared" si="77"/>
        <v>0.003688776084737602</v>
      </c>
      <c r="I100" s="704">
        <v>55881.92999999999</v>
      </c>
      <c r="J100" s="689">
        <f t="shared" si="78"/>
        <v>0.012379042073426614</v>
      </c>
      <c r="K100" s="597"/>
      <c r="L100" s="706">
        <v>18.369</v>
      </c>
      <c r="M100" s="707">
        <v>45.857</v>
      </c>
      <c r="N100" s="708">
        <f t="shared" si="79"/>
        <v>114.708</v>
      </c>
      <c r="O100" s="705">
        <f t="shared" si="68"/>
        <v>0.011361388128118002</v>
      </c>
      <c r="P100" s="687"/>
      <c r="Q100" s="684"/>
      <c r="R100" s="685"/>
      <c r="S100" s="684"/>
      <c r="T100" s="685"/>
      <c r="U100" s="684"/>
      <c r="V100" s="709"/>
      <c r="W100" s="689"/>
      <c r="Y100" s="683">
        <v>363</v>
      </c>
      <c r="Z100" s="684">
        <f t="shared" si="69"/>
        <v>0.026222639601242506</v>
      </c>
      <c r="AA100" s="685">
        <v>106</v>
      </c>
      <c r="AB100" s="684">
        <f t="shared" si="70"/>
        <v>0.011054333089998957</v>
      </c>
      <c r="AC100" s="685">
        <v>28</v>
      </c>
      <c r="AD100" s="684">
        <f t="shared" si="80"/>
        <v>0.009540034071550256</v>
      </c>
      <c r="AE100" s="685">
        <f t="shared" si="81"/>
        <v>497</v>
      </c>
      <c r="AF100" s="686">
        <f t="shared" si="71"/>
        <v>0.018849319224788563</v>
      </c>
      <c r="AG100" s="687"/>
      <c r="AH100" s="684">
        <f t="shared" si="72"/>
        <v>0</v>
      </c>
      <c r="AI100" s="685">
        <v>0</v>
      </c>
      <c r="AJ100" s="684">
        <f t="shared" si="89"/>
        <v>0</v>
      </c>
      <c r="AK100" s="685"/>
      <c r="AL100" s="684">
        <f t="shared" si="90"/>
        <v>0</v>
      </c>
      <c r="AM100" s="685">
        <f t="shared" si="82"/>
        <v>0</v>
      </c>
      <c r="AN100" s="688">
        <f t="shared" si="83"/>
        <v>0</v>
      </c>
      <c r="AO100" s="687">
        <v>6927.84</v>
      </c>
      <c r="AP100" s="684">
        <f t="shared" si="84"/>
        <v>0.020637064941231558</v>
      </c>
      <c r="AQ100" s="685">
        <v>10337.7</v>
      </c>
      <c r="AR100" s="684">
        <f t="shared" si="84"/>
        <v>0.012822121746416216</v>
      </c>
      <c r="AS100" s="685">
        <v>216.24</v>
      </c>
      <c r="AT100" s="684">
        <f t="shared" si="73"/>
        <v>0.0030988129242166566</v>
      </c>
      <c r="AU100" s="685">
        <f t="shared" si="85"/>
        <v>17481.780000000002</v>
      </c>
      <c r="AV100" s="688">
        <f t="shared" si="86"/>
        <v>0.01442724534650699</v>
      </c>
      <c r="AW100" s="687">
        <v>3995.34</v>
      </c>
      <c r="AX100" s="684">
        <f t="shared" si="74"/>
        <v>0.007877246391601518</v>
      </c>
      <c r="AY100" s="685">
        <v>246.84</v>
      </c>
      <c r="AZ100" s="684">
        <f t="shared" si="75"/>
        <v>0.0003327325078932308</v>
      </c>
      <c r="BA100" s="685">
        <v>433.5</v>
      </c>
      <c r="BB100" s="684">
        <f t="shared" si="76"/>
        <v>0.022580100758816394</v>
      </c>
      <c r="BC100" s="685">
        <f t="shared" si="87"/>
        <v>4675.68</v>
      </c>
      <c r="BD100" s="689">
        <f t="shared" si="88"/>
        <v>0.00368670169777609</v>
      </c>
      <c r="BE100" s="671"/>
      <c r="BF100" s="671"/>
      <c r="BG100" s="721"/>
    </row>
    <row r="101" spans="1:59" ht="11.25" customHeight="1">
      <c r="A101" s="639">
        <v>21000</v>
      </c>
      <c r="B101" s="640" t="s">
        <v>131</v>
      </c>
      <c r="C101" s="786"/>
      <c r="D101" s="686"/>
      <c r="E101" s="704"/>
      <c r="F101" s="688"/>
      <c r="G101" s="704">
        <v>680280</v>
      </c>
      <c r="H101" s="688">
        <f t="shared" si="77"/>
        <v>0.14986864518187384</v>
      </c>
      <c r="I101" s="704">
        <v>552867.49</v>
      </c>
      <c r="J101" s="689">
        <f t="shared" si="78"/>
        <v>0.12247196758844528</v>
      </c>
      <c r="K101" s="597"/>
      <c r="L101" s="706">
        <v>189.077</v>
      </c>
      <c r="M101" s="707">
        <v>316.665</v>
      </c>
      <c r="N101" s="708">
        <f t="shared" si="79"/>
        <v>947.69</v>
      </c>
      <c r="O101" s="705">
        <f t="shared" si="68"/>
        <v>0.0938650653410063</v>
      </c>
      <c r="P101" s="687"/>
      <c r="Q101" s="684"/>
      <c r="R101" s="685"/>
      <c r="S101" s="684"/>
      <c r="T101" s="685"/>
      <c r="U101" s="684"/>
      <c r="V101" s="709"/>
      <c r="W101" s="689"/>
      <c r="Y101" s="683">
        <v>1327</v>
      </c>
      <c r="Z101" s="684">
        <f t="shared" si="69"/>
        <v>0.0958607238315394</v>
      </c>
      <c r="AA101" s="685">
        <v>465</v>
      </c>
      <c r="AB101" s="684">
        <f t="shared" si="70"/>
        <v>0.04849306497027844</v>
      </c>
      <c r="AC101" s="685">
        <v>218</v>
      </c>
      <c r="AD101" s="684">
        <f>AC101/AC$91</f>
        <v>0.07427597955706984</v>
      </c>
      <c r="AE101" s="685">
        <f t="shared" si="81"/>
        <v>2010</v>
      </c>
      <c r="AF101" s="686">
        <f t="shared" si="71"/>
        <v>0.07623165320286722</v>
      </c>
      <c r="AG101" s="687">
        <v>59</v>
      </c>
      <c r="AH101" s="684">
        <f t="shared" si="72"/>
        <v>0.23983739837398374</v>
      </c>
      <c r="AI101" s="685">
        <v>41</v>
      </c>
      <c r="AJ101" s="684">
        <f t="shared" si="89"/>
        <v>0.013707790036776997</v>
      </c>
      <c r="AK101" s="685">
        <v>5</v>
      </c>
      <c r="AL101" s="684">
        <f t="shared" si="90"/>
        <v>0.02702702702702703</v>
      </c>
      <c r="AM101" s="685">
        <f t="shared" si="82"/>
        <v>105</v>
      </c>
      <c r="AN101" s="688">
        <f t="shared" si="83"/>
        <v>0.030683810637054353</v>
      </c>
      <c r="AO101" s="687">
        <v>16232.28</v>
      </c>
      <c r="AP101" s="684">
        <f t="shared" si="84"/>
        <v>0.04835368837967594</v>
      </c>
      <c r="AQ101" s="685">
        <v>73029.95999999999</v>
      </c>
      <c r="AR101" s="684">
        <f t="shared" si="84"/>
        <v>0.09058098399604421</v>
      </c>
      <c r="AS101" s="685">
        <v>5125.5</v>
      </c>
      <c r="AT101" s="684">
        <f t="shared" si="73"/>
        <v>0.07345063652919197</v>
      </c>
      <c r="AU101" s="685">
        <f t="shared" si="85"/>
        <v>94387.73999999999</v>
      </c>
      <c r="AV101" s="688">
        <f t="shared" si="86"/>
        <v>0.07789567668065331</v>
      </c>
      <c r="AW101" s="687">
        <v>46255.98</v>
      </c>
      <c r="AX101" s="684">
        <f t="shared" si="74"/>
        <v>0.09119868435351985</v>
      </c>
      <c r="AY101" s="685">
        <v>114355.26000000001</v>
      </c>
      <c r="AZ101" s="684">
        <f t="shared" si="75"/>
        <v>0.15414727131170985</v>
      </c>
      <c r="BA101" s="685">
        <v>1008.78</v>
      </c>
      <c r="BB101" s="684">
        <f t="shared" si="76"/>
        <v>0.052545222706986854</v>
      </c>
      <c r="BC101" s="685">
        <f t="shared" si="87"/>
        <v>161620.02000000002</v>
      </c>
      <c r="BD101" s="689">
        <f t="shared" si="88"/>
        <v>0.1274348976252878</v>
      </c>
      <c r="BE101" s="671"/>
      <c r="BF101" s="671"/>
      <c r="BG101" s="721"/>
    </row>
    <row r="102" spans="1:59" ht="11.25" customHeight="1">
      <c r="A102" s="639">
        <v>22000</v>
      </c>
      <c r="B102" s="640" t="s">
        <v>270</v>
      </c>
      <c r="C102" s="786"/>
      <c r="D102" s="686"/>
      <c r="E102" s="704"/>
      <c r="F102" s="688"/>
      <c r="G102" s="704">
        <v>209485.07</v>
      </c>
      <c r="H102" s="688">
        <f t="shared" si="77"/>
        <v>0.0461504727858088</v>
      </c>
      <c r="I102" s="704">
        <v>122027.03999999998</v>
      </c>
      <c r="J102" s="689">
        <f t="shared" si="78"/>
        <v>0.02703159791109062</v>
      </c>
      <c r="K102" s="597"/>
      <c r="L102" s="706">
        <v>60.22</v>
      </c>
      <c r="M102" s="707">
        <v>99.28</v>
      </c>
      <c r="N102" s="708">
        <f t="shared" si="79"/>
        <v>299.47</v>
      </c>
      <c r="O102" s="705">
        <f t="shared" si="68"/>
        <v>0.02966135668591117</v>
      </c>
      <c r="P102" s="687"/>
      <c r="Q102" s="684"/>
      <c r="R102" s="685"/>
      <c r="S102" s="684"/>
      <c r="T102" s="685"/>
      <c r="U102" s="684"/>
      <c r="V102" s="709"/>
      <c r="W102" s="689"/>
      <c r="Y102" s="683">
        <v>214</v>
      </c>
      <c r="Z102" s="684">
        <f t="shared" si="69"/>
        <v>0.015459076789713212</v>
      </c>
      <c r="AA102" s="685">
        <v>51</v>
      </c>
      <c r="AB102" s="684">
        <f t="shared" si="70"/>
        <v>0.005318594222546668</v>
      </c>
      <c r="AC102" s="685">
        <v>72</v>
      </c>
      <c r="AD102" s="684">
        <f t="shared" si="80"/>
        <v>0.02453151618398637</v>
      </c>
      <c r="AE102" s="685">
        <f t="shared" si="81"/>
        <v>337</v>
      </c>
      <c r="AF102" s="686">
        <f t="shared" si="71"/>
        <v>0.012781127925057837</v>
      </c>
      <c r="AG102" s="687">
        <v>6</v>
      </c>
      <c r="AH102" s="684">
        <f t="shared" si="72"/>
        <v>0.024390243902439025</v>
      </c>
      <c r="AI102" s="685">
        <v>3</v>
      </c>
      <c r="AJ102" s="684">
        <f t="shared" si="89"/>
        <v>0.0010030090270812437</v>
      </c>
      <c r="AK102" s="685">
        <v>5</v>
      </c>
      <c r="AL102" s="684">
        <f t="shared" si="90"/>
        <v>0.02702702702702703</v>
      </c>
      <c r="AM102" s="685">
        <f t="shared" si="82"/>
        <v>14</v>
      </c>
      <c r="AN102" s="688">
        <f t="shared" si="83"/>
        <v>0.004091174751607247</v>
      </c>
      <c r="AO102" s="687">
        <v>1401.48</v>
      </c>
      <c r="AP102" s="684">
        <f t="shared" si="84"/>
        <v>0.004174812607369282</v>
      </c>
      <c r="AQ102" s="685">
        <v>12563.34</v>
      </c>
      <c r="AR102" s="684">
        <f t="shared" si="84"/>
        <v>0.015582641692215937</v>
      </c>
      <c r="AS102" s="685">
        <v>1689.1200000000001</v>
      </c>
      <c r="AT102" s="684">
        <f t="shared" si="73"/>
        <v>0.02420582170991879</v>
      </c>
      <c r="AU102" s="685">
        <f t="shared" si="85"/>
        <v>15653.94</v>
      </c>
      <c r="AV102" s="688">
        <f t="shared" si="86"/>
        <v>0.012918777894442075</v>
      </c>
      <c r="AW102" s="687">
        <v>5573.28</v>
      </c>
      <c r="AX102" s="684">
        <f t="shared" si="74"/>
        <v>0.01098832634253528</v>
      </c>
      <c r="AY102" s="685">
        <v>13520.1</v>
      </c>
      <c r="AZ102" s="684">
        <f t="shared" si="75"/>
        <v>0.018224666909606505</v>
      </c>
      <c r="BA102" s="685">
        <v>788.46</v>
      </c>
      <c r="BB102" s="684">
        <f t="shared" si="76"/>
        <v>0.041069218556623696</v>
      </c>
      <c r="BC102" s="685">
        <f t="shared" si="87"/>
        <v>19881.84</v>
      </c>
      <c r="BD102" s="689">
        <f t="shared" si="88"/>
        <v>0.0156765247585191</v>
      </c>
      <c r="BE102" s="671"/>
      <c r="BF102" s="671"/>
      <c r="BG102" s="721"/>
    </row>
    <row r="103" spans="1:59" ht="11.25" customHeight="1">
      <c r="A103" s="639">
        <v>23000</v>
      </c>
      <c r="B103" s="640" t="s">
        <v>358</v>
      </c>
      <c r="C103" s="786"/>
      <c r="D103" s="686"/>
      <c r="E103" s="704"/>
      <c r="F103" s="688"/>
      <c r="G103" s="704">
        <v>177503.91</v>
      </c>
      <c r="H103" s="688">
        <f t="shared" si="77"/>
        <v>0.03910488402743763</v>
      </c>
      <c r="I103" s="704">
        <v>108735.63</v>
      </c>
      <c r="J103" s="689">
        <f t="shared" si="78"/>
        <v>0.024087266467900253</v>
      </c>
      <c r="K103" s="597"/>
      <c r="L103" s="706">
        <v>68.896</v>
      </c>
      <c r="M103" s="707">
        <v>136.493</v>
      </c>
      <c r="N103" s="708">
        <f t="shared" si="79"/>
        <v>376.97950000000003</v>
      </c>
      <c r="O103" s="705">
        <f t="shared" si="68"/>
        <v>0.03733837583990533</v>
      </c>
      <c r="P103" s="687"/>
      <c r="Q103" s="684"/>
      <c r="R103" s="685"/>
      <c r="S103" s="684"/>
      <c r="T103" s="685"/>
      <c r="U103" s="684"/>
      <c r="V103" s="709"/>
      <c r="W103" s="689"/>
      <c r="Y103" s="683">
        <v>274</v>
      </c>
      <c r="Z103" s="684">
        <f t="shared" si="69"/>
        <v>0.01979339738495991</v>
      </c>
      <c r="AA103" s="685">
        <v>95</v>
      </c>
      <c r="AB103" s="684">
        <f>AA103/AA$91</f>
        <v>0.009907185316508499</v>
      </c>
      <c r="AC103" s="685">
        <v>27</v>
      </c>
      <c r="AD103" s="684">
        <f t="shared" si="80"/>
        <v>0.009199318568994889</v>
      </c>
      <c r="AE103" s="685">
        <f t="shared" si="81"/>
        <v>396</v>
      </c>
      <c r="AF103" s="686">
        <f t="shared" si="71"/>
        <v>0.015018773466833541</v>
      </c>
      <c r="AG103" s="687"/>
      <c r="AH103" s="684">
        <f t="shared" si="72"/>
        <v>0</v>
      </c>
      <c r="AI103" s="685">
        <v>0</v>
      </c>
      <c r="AJ103" s="684">
        <f t="shared" si="89"/>
        <v>0</v>
      </c>
      <c r="AK103" s="685"/>
      <c r="AL103" s="684">
        <f t="shared" si="90"/>
        <v>0</v>
      </c>
      <c r="AM103" s="685">
        <f t="shared" si="82"/>
        <v>0</v>
      </c>
      <c r="AN103" s="688">
        <f t="shared" si="83"/>
        <v>0</v>
      </c>
      <c r="AO103" s="687">
        <v>13269.599999999999</v>
      </c>
      <c r="AP103" s="684">
        <f t="shared" si="84"/>
        <v>0.03952827965775281</v>
      </c>
      <c r="AQ103" s="685">
        <v>26103.719999999998</v>
      </c>
      <c r="AR103" s="684">
        <f t="shared" si="84"/>
        <v>0.03237713184502934</v>
      </c>
      <c r="AS103" s="685">
        <v>4163.28</v>
      </c>
      <c r="AT103" s="684">
        <f t="shared" si="73"/>
        <v>0.059661606877232334</v>
      </c>
      <c r="AU103" s="685">
        <f t="shared" si="85"/>
        <v>43536.59999999999</v>
      </c>
      <c r="AV103" s="688">
        <f t="shared" si="86"/>
        <v>0.03592959125173386</v>
      </c>
      <c r="AW103" s="687">
        <v>16414.859999999997</v>
      </c>
      <c r="AX103" s="684">
        <f t="shared" si="74"/>
        <v>0.03236367786061864</v>
      </c>
      <c r="AY103" s="685">
        <v>8055.24</v>
      </c>
      <c r="AZ103" s="684">
        <f t="shared" si="75"/>
        <v>0.010858208584029607</v>
      </c>
      <c r="BA103" s="685">
        <v>310.08</v>
      </c>
      <c r="BB103" s="684">
        <f t="shared" si="76"/>
        <v>0.016151413248659253</v>
      </c>
      <c r="BC103" s="685">
        <f t="shared" si="87"/>
        <v>24780.18</v>
      </c>
      <c r="BD103" s="689">
        <f t="shared" si="88"/>
        <v>0.019538790438438283</v>
      </c>
      <c r="BE103" s="671"/>
      <c r="BF103" s="671"/>
      <c r="BG103" s="721"/>
    </row>
    <row r="104" spans="1:59" ht="11.25" customHeight="1">
      <c r="A104" s="639">
        <v>24000</v>
      </c>
      <c r="B104" s="640" t="s">
        <v>134</v>
      </c>
      <c r="C104" s="786"/>
      <c r="D104" s="686"/>
      <c r="E104" s="704"/>
      <c r="F104" s="688"/>
      <c r="G104" s="704">
        <v>141839.61000000002</v>
      </c>
      <c r="H104" s="688">
        <f t="shared" si="77"/>
        <v>0.031247883494774753</v>
      </c>
      <c r="I104" s="704">
        <v>134936.34</v>
      </c>
      <c r="J104" s="689">
        <f t="shared" si="78"/>
        <v>0.029891283820981104</v>
      </c>
      <c r="K104" s="597"/>
      <c r="L104" s="706">
        <v>50.4</v>
      </c>
      <c r="M104" s="707">
        <v>97.619</v>
      </c>
      <c r="N104" s="708">
        <f t="shared" si="79"/>
        <v>272.4285</v>
      </c>
      <c r="O104" s="705">
        <f t="shared" si="68"/>
        <v>0.02698299966576869</v>
      </c>
      <c r="P104" s="687"/>
      <c r="Q104" s="684"/>
      <c r="R104" s="685"/>
      <c r="S104" s="684"/>
      <c r="T104" s="685"/>
      <c r="U104" s="684"/>
      <c r="V104" s="709"/>
      <c r="W104" s="689"/>
      <c r="Y104" s="683">
        <v>343</v>
      </c>
      <c r="Z104" s="684">
        <f t="shared" si="69"/>
        <v>0.024777866069493608</v>
      </c>
      <c r="AA104" s="685">
        <v>131</v>
      </c>
      <c r="AB104" s="684">
        <f t="shared" si="70"/>
        <v>0.013661487120659089</v>
      </c>
      <c r="AC104" s="685">
        <v>50</v>
      </c>
      <c r="AD104" s="684">
        <f t="shared" si="80"/>
        <v>0.017035775127768313</v>
      </c>
      <c r="AE104" s="685">
        <f t="shared" si="81"/>
        <v>524</v>
      </c>
      <c r="AF104" s="686">
        <f t="shared" si="71"/>
        <v>0.019873326506618123</v>
      </c>
      <c r="AG104" s="687">
        <v>6</v>
      </c>
      <c r="AH104" s="684">
        <f t="shared" si="72"/>
        <v>0.024390243902439025</v>
      </c>
      <c r="AI104" s="685">
        <v>2</v>
      </c>
      <c r="AJ104" s="684">
        <f t="shared" si="89"/>
        <v>0.0006686726847208291</v>
      </c>
      <c r="AK104" s="685">
        <v>1</v>
      </c>
      <c r="AL104" s="684">
        <f t="shared" si="90"/>
        <v>0.005405405405405406</v>
      </c>
      <c r="AM104" s="685">
        <f t="shared" si="82"/>
        <v>9</v>
      </c>
      <c r="AN104" s="688">
        <f t="shared" si="83"/>
        <v>0.002630040911747516</v>
      </c>
      <c r="AO104" s="687">
        <v>13640.099999999999</v>
      </c>
      <c r="AP104" s="684">
        <f t="shared" si="84"/>
        <v>0.04063194725988079</v>
      </c>
      <c r="AQ104" s="685">
        <v>14094.959999999997</v>
      </c>
      <c r="AR104" s="684">
        <f t="shared" si="84"/>
        <v>0.01748235034203611</v>
      </c>
      <c r="AS104" s="685">
        <v>3254.7</v>
      </c>
      <c r="AT104" s="684">
        <f t="shared" si="73"/>
        <v>0.0466412616742876</v>
      </c>
      <c r="AU104" s="685">
        <f t="shared" si="85"/>
        <v>30989.76</v>
      </c>
      <c r="AV104" s="688">
        <f t="shared" si="86"/>
        <v>0.025575019863501792</v>
      </c>
      <c r="AW104" s="687">
        <v>11569.859999999999</v>
      </c>
      <c r="AX104" s="684">
        <f t="shared" si="74"/>
        <v>0.02281123457236048</v>
      </c>
      <c r="AY104" s="685">
        <v>4306.92</v>
      </c>
      <c r="AZ104" s="684">
        <f t="shared" si="75"/>
        <v>0.005805591852598904</v>
      </c>
      <c r="BA104" s="685">
        <v>1551.54</v>
      </c>
      <c r="BB104" s="684">
        <f t="shared" si="76"/>
        <v>0.0808164464390634</v>
      </c>
      <c r="BC104" s="685">
        <f t="shared" si="87"/>
        <v>17428.32</v>
      </c>
      <c r="BD104" s="689">
        <f t="shared" si="88"/>
        <v>0.013741962010527877</v>
      </c>
      <c r="BE104" s="671"/>
      <c r="BF104" s="671"/>
      <c r="BG104" s="721"/>
    </row>
    <row r="105" spans="1:59" ht="11.25" customHeight="1">
      <c r="A105" s="639">
        <v>25000</v>
      </c>
      <c r="B105" s="640" t="s">
        <v>359</v>
      </c>
      <c r="C105" s="786"/>
      <c r="D105" s="686"/>
      <c r="E105" s="704"/>
      <c r="F105" s="688"/>
      <c r="G105" s="704">
        <v>79687.54000000001</v>
      </c>
      <c r="H105" s="688">
        <f t="shared" si="77"/>
        <v>0.01755551193284586</v>
      </c>
      <c r="I105" s="704">
        <v>69696.93</v>
      </c>
      <c r="J105" s="689">
        <f t="shared" si="78"/>
        <v>0.015439359894310549</v>
      </c>
      <c r="K105" s="597"/>
      <c r="L105" s="706">
        <v>55.039</v>
      </c>
      <c r="M105" s="707">
        <v>100.271</v>
      </c>
      <c r="N105" s="708">
        <f t="shared" si="79"/>
        <v>288.004</v>
      </c>
      <c r="O105" s="705">
        <f t="shared" si="68"/>
        <v>0.02852569329471787</v>
      </c>
      <c r="P105" s="687"/>
      <c r="Q105" s="684"/>
      <c r="R105" s="685"/>
      <c r="S105" s="684"/>
      <c r="T105" s="685"/>
      <c r="U105" s="684"/>
      <c r="V105" s="709"/>
      <c r="W105" s="689"/>
      <c r="Y105" s="683">
        <v>136</v>
      </c>
      <c r="Z105" s="684">
        <f t="shared" si="69"/>
        <v>0.00982446001589251</v>
      </c>
      <c r="AA105" s="685">
        <v>46</v>
      </c>
      <c r="AB105" s="684">
        <f t="shared" si="70"/>
        <v>0.004797163416414642</v>
      </c>
      <c r="AC105" s="685">
        <v>35</v>
      </c>
      <c r="AD105" s="684">
        <f t="shared" si="80"/>
        <v>0.01192504258943782</v>
      </c>
      <c r="AE105" s="685">
        <f t="shared" si="81"/>
        <v>217</v>
      </c>
      <c r="AF105" s="686">
        <f t="shared" si="71"/>
        <v>0.008229984450259794</v>
      </c>
      <c r="AG105" s="687"/>
      <c r="AH105" s="684">
        <f t="shared" si="72"/>
        <v>0</v>
      </c>
      <c r="AI105" s="685">
        <v>0</v>
      </c>
      <c r="AJ105" s="684">
        <f t="shared" si="89"/>
        <v>0</v>
      </c>
      <c r="AK105" s="685"/>
      <c r="AL105" s="684">
        <f t="shared" si="90"/>
        <v>0</v>
      </c>
      <c r="AM105" s="685">
        <f t="shared" si="82"/>
        <v>0</v>
      </c>
      <c r="AN105" s="688">
        <f t="shared" si="83"/>
        <v>0</v>
      </c>
      <c r="AO105" s="687">
        <v>17652.12</v>
      </c>
      <c r="AP105" s="684">
        <f t="shared" si="84"/>
        <v>0.052583192855264034</v>
      </c>
      <c r="AQ105" s="685">
        <v>7491.900000000001</v>
      </c>
      <c r="AR105" s="684">
        <f t="shared" si="84"/>
        <v>0.009292401009119596</v>
      </c>
      <c r="AS105" s="685">
        <v>982.26</v>
      </c>
      <c r="AT105" s="684">
        <f t="shared" si="73"/>
        <v>0.014076211537833207</v>
      </c>
      <c r="AU105" s="685">
        <f t="shared" si="85"/>
        <v>26126.28</v>
      </c>
      <c r="AV105" s="688">
        <f t="shared" si="86"/>
        <v>0.021561319931467995</v>
      </c>
      <c r="AW105" s="687">
        <v>17746.98</v>
      </c>
      <c r="AX105" s="684">
        <f t="shared" si="74"/>
        <v>0.03499009700471657</v>
      </c>
      <c r="AY105" s="685">
        <v>5895.6</v>
      </c>
      <c r="AZ105" s="684">
        <f t="shared" si="75"/>
        <v>0.007947082213317662</v>
      </c>
      <c r="BA105" s="685">
        <v>532.44</v>
      </c>
      <c r="BB105" s="684">
        <f t="shared" si="76"/>
        <v>0.02773367669671096</v>
      </c>
      <c r="BC105" s="685">
        <f t="shared" si="87"/>
        <v>24175.02</v>
      </c>
      <c r="BD105" s="689">
        <f t="shared" si="88"/>
        <v>0.01906163109489335</v>
      </c>
      <c r="BE105" s="671"/>
      <c r="BF105" s="671"/>
      <c r="BG105" s="721"/>
    </row>
    <row r="106" spans="1:59" ht="11.25" customHeight="1">
      <c r="A106" s="639">
        <v>26000</v>
      </c>
      <c r="B106" s="640" t="s">
        <v>360</v>
      </c>
      <c r="C106" s="786"/>
      <c r="D106" s="686"/>
      <c r="E106" s="704"/>
      <c r="F106" s="688"/>
      <c r="G106" s="704">
        <v>385002.17</v>
      </c>
      <c r="H106" s="688">
        <f t="shared" si="77"/>
        <v>0.08481765392188727</v>
      </c>
      <c r="I106" s="704">
        <v>386125.49</v>
      </c>
      <c r="J106" s="689">
        <f t="shared" si="78"/>
        <v>0.08553505017332914</v>
      </c>
      <c r="K106" s="597"/>
      <c r="L106" s="706">
        <v>120.147</v>
      </c>
      <c r="M106" s="707">
        <v>247.974</v>
      </c>
      <c r="N106" s="708">
        <f t="shared" si="79"/>
        <v>672.3285000000001</v>
      </c>
      <c r="O106" s="705">
        <f t="shared" si="68"/>
        <v>0.06659156325709964</v>
      </c>
      <c r="P106" s="687"/>
      <c r="Q106" s="684"/>
      <c r="R106" s="685"/>
      <c r="S106" s="684"/>
      <c r="T106" s="685"/>
      <c r="U106" s="684"/>
      <c r="V106" s="709"/>
      <c r="W106" s="689"/>
      <c r="Y106" s="683">
        <v>1635</v>
      </c>
      <c r="Z106" s="684">
        <f t="shared" si="69"/>
        <v>0.11811023622047244</v>
      </c>
      <c r="AA106" s="685">
        <v>712</v>
      </c>
      <c r="AB106" s="684">
        <f t="shared" si="70"/>
        <v>0.07425174679320054</v>
      </c>
      <c r="AC106" s="685">
        <v>176</v>
      </c>
      <c r="AD106" s="684">
        <f t="shared" si="80"/>
        <v>0.059965928449744466</v>
      </c>
      <c r="AE106" s="685">
        <f t="shared" si="81"/>
        <v>2523</v>
      </c>
      <c r="AF106" s="686">
        <f t="shared" si="71"/>
        <v>0.09568779155762885</v>
      </c>
      <c r="AG106" s="687">
        <v>2</v>
      </c>
      <c r="AH106" s="684">
        <f t="shared" si="72"/>
        <v>0.008130081300813009</v>
      </c>
      <c r="AI106" s="685">
        <v>3</v>
      </c>
      <c r="AJ106" s="684">
        <f t="shared" si="89"/>
        <v>0.0010030090270812437</v>
      </c>
      <c r="AK106" s="685">
        <v>8</v>
      </c>
      <c r="AL106" s="684">
        <f t="shared" si="90"/>
        <v>0.043243243243243246</v>
      </c>
      <c r="AM106" s="685">
        <f t="shared" si="82"/>
        <v>13</v>
      </c>
      <c r="AN106" s="688">
        <f t="shared" si="83"/>
        <v>0.003798947983635301</v>
      </c>
      <c r="AO106" s="687">
        <v>20622.6</v>
      </c>
      <c r="AP106" s="684">
        <f t="shared" si="84"/>
        <v>0.06143183668460038</v>
      </c>
      <c r="AQ106" s="685">
        <v>55255.799999999996</v>
      </c>
      <c r="AR106" s="684">
        <f t="shared" si="84"/>
        <v>0.06853522493355631</v>
      </c>
      <c r="AS106" s="685">
        <v>12333.659999999998</v>
      </c>
      <c r="AT106" s="684">
        <f t="shared" si="73"/>
        <v>0.17674669353909545</v>
      </c>
      <c r="AU106" s="685">
        <f t="shared" si="85"/>
        <v>88212.06</v>
      </c>
      <c r="AV106" s="688">
        <f t="shared" si="86"/>
        <v>0.07279905319371341</v>
      </c>
      <c r="AW106" s="687">
        <v>33729.18</v>
      </c>
      <c r="AX106" s="684">
        <f t="shared" si="74"/>
        <v>0.06650073872228097</v>
      </c>
      <c r="AY106" s="685">
        <v>52779.719999999994</v>
      </c>
      <c r="AZ106" s="684">
        <f t="shared" si="75"/>
        <v>0.07114539216294972</v>
      </c>
      <c r="BA106" s="685">
        <v>2162.58</v>
      </c>
      <c r="BB106" s="684">
        <f t="shared" si="76"/>
        <v>0.11264423137024487</v>
      </c>
      <c r="BC106" s="685">
        <f t="shared" si="87"/>
        <v>88671.48</v>
      </c>
      <c r="BD106" s="689">
        <f t="shared" si="88"/>
        <v>0.06991609688009415</v>
      </c>
      <c r="BE106" s="671"/>
      <c r="BF106" s="671"/>
      <c r="BG106" s="721"/>
    </row>
    <row r="107" spans="1:59" ht="11.25" customHeight="1">
      <c r="A107" s="639">
        <v>27000</v>
      </c>
      <c r="B107" s="640" t="s">
        <v>361</v>
      </c>
      <c r="C107" s="786"/>
      <c r="D107" s="686"/>
      <c r="E107" s="704"/>
      <c r="F107" s="688"/>
      <c r="G107" s="704">
        <v>216669.6</v>
      </c>
      <c r="H107" s="688">
        <f t="shared" si="77"/>
        <v>0.04773325601825504</v>
      </c>
      <c r="I107" s="704">
        <v>210674.5</v>
      </c>
      <c r="J107" s="689">
        <f t="shared" si="78"/>
        <v>0.04666890530262851</v>
      </c>
      <c r="K107" s="597"/>
      <c r="L107" s="706">
        <v>114.925</v>
      </c>
      <c r="M107" s="707">
        <v>190.144</v>
      </c>
      <c r="N107" s="708">
        <f t="shared" si="79"/>
        <v>572.5285</v>
      </c>
      <c r="O107" s="705">
        <f t="shared" si="68"/>
        <v>0.05670675543910807</v>
      </c>
      <c r="P107" s="687"/>
      <c r="Q107" s="684"/>
      <c r="R107" s="685"/>
      <c r="S107" s="684"/>
      <c r="T107" s="685"/>
      <c r="U107" s="684"/>
      <c r="V107" s="709"/>
      <c r="W107" s="689"/>
      <c r="Y107" s="683">
        <v>683</v>
      </c>
      <c r="Z107" s="684">
        <f t="shared" si="69"/>
        <v>0.04933901610922488</v>
      </c>
      <c r="AA107" s="685">
        <v>372</v>
      </c>
      <c r="AB107" s="684">
        <f t="shared" si="70"/>
        <v>0.038794451976222756</v>
      </c>
      <c r="AC107" s="685">
        <v>118</v>
      </c>
      <c r="AD107" s="684">
        <f t="shared" si="80"/>
        <v>0.04020442930153322</v>
      </c>
      <c r="AE107" s="685">
        <f t="shared" si="81"/>
        <v>1173</v>
      </c>
      <c r="AF107" s="686">
        <f t="shared" si="71"/>
        <v>0.04448742746615087</v>
      </c>
      <c r="AG107" s="687"/>
      <c r="AH107" s="684">
        <f t="shared" si="72"/>
        <v>0</v>
      </c>
      <c r="AI107" s="685">
        <v>4</v>
      </c>
      <c r="AJ107" s="684">
        <f t="shared" si="89"/>
        <v>0.0013373453694416582</v>
      </c>
      <c r="AK107" s="685">
        <v>22</v>
      </c>
      <c r="AL107" s="684">
        <f t="shared" si="90"/>
        <v>0.11891891891891893</v>
      </c>
      <c r="AM107" s="685">
        <f t="shared" si="82"/>
        <v>26</v>
      </c>
      <c r="AN107" s="688">
        <f t="shared" si="83"/>
        <v>0.007597895967270602</v>
      </c>
      <c r="AO107" s="687">
        <v>9416.4</v>
      </c>
      <c r="AP107" s="684">
        <f t="shared" si="84"/>
        <v>0.028050136595621843</v>
      </c>
      <c r="AQ107" s="685">
        <v>26128.8</v>
      </c>
      <c r="AR107" s="684">
        <f t="shared" si="84"/>
        <v>0.03240823922997959</v>
      </c>
      <c r="AS107" s="685">
        <v>3801.8999999999996</v>
      </c>
      <c r="AT107" s="684">
        <f t="shared" si="73"/>
        <v>0.05448287484544628</v>
      </c>
      <c r="AU107" s="685">
        <f t="shared" si="85"/>
        <v>39347.1</v>
      </c>
      <c r="AV107" s="688">
        <f t="shared" si="86"/>
        <v>0.03247210898281211</v>
      </c>
      <c r="AW107" s="687">
        <v>36998.7</v>
      </c>
      <c r="AX107" s="684">
        <f t="shared" si="74"/>
        <v>0.07294695221656906</v>
      </c>
      <c r="AY107" s="685">
        <v>9284.16</v>
      </c>
      <c r="AZ107" s="684">
        <f t="shared" si="75"/>
        <v>0.01251475385059965</v>
      </c>
      <c r="BA107" s="685">
        <v>679.4399999999999</v>
      </c>
      <c r="BB107" s="684">
        <f t="shared" si="76"/>
        <v>0.03539059667720924</v>
      </c>
      <c r="BC107" s="685">
        <f t="shared" si="87"/>
        <v>46962.3</v>
      </c>
      <c r="BD107" s="689">
        <f t="shared" si="88"/>
        <v>0.03702905056408268</v>
      </c>
      <c r="BE107" s="671"/>
      <c r="BF107" s="671"/>
      <c r="BG107" s="721"/>
    </row>
    <row r="108" spans="1:59" ht="11.25" customHeight="1">
      <c r="A108" s="639">
        <v>28000</v>
      </c>
      <c r="B108" s="640" t="s">
        <v>362</v>
      </c>
      <c r="C108" s="786"/>
      <c r="D108" s="686"/>
      <c r="E108" s="704"/>
      <c r="F108" s="688"/>
      <c r="G108" s="704">
        <v>34504.630000000005</v>
      </c>
      <c r="H108" s="688">
        <f t="shared" si="77"/>
        <v>0.007601520183750574</v>
      </c>
      <c r="I108" s="704">
        <v>47742.47</v>
      </c>
      <c r="J108" s="689">
        <f t="shared" si="78"/>
        <v>0.010575977687587168</v>
      </c>
      <c r="K108" s="597"/>
      <c r="L108" s="706">
        <v>41.692</v>
      </c>
      <c r="M108" s="707">
        <v>80.147</v>
      </c>
      <c r="N108" s="708">
        <f t="shared" si="79"/>
        <v>224.45050000000003</v>
      </c>
      <c r="O108" s="705">
        <f t="shared" si="68"/>
        <v>0.022230962496514194</v>
      </c>
      <c r="P108" s="687"/>
      <c r="Q108" s="684"/>
      <c r="R108" s="685"/>
      <c r="S108" s="684"/>
      <c r="T108" s="685"/>
      <c r="U108" s="684"/>
      <c r="V108" s="709"/>
      <c r="W108" s="689"/>
      <c r="Y108" s="683">
        <v>405</v>
      </c>
      <c r="Z108" s="684">
        <f t="shared" si="69"/>
        <v>0.029256664017915192</v>
      </c>
      <c r="AA108" s="685">
        <v>230</v>
      </c>
      <c r="AB108" s="684">
        <f t="shared" si="70"/>
        <v>0.02398581708207321</v>
      </c>
      <c r="AC108" s="685">
        <v>86</v>
      </c>
      <c r="AD108" s="684">
        <f t="shared" si="80"/>
        <v>0.0293015332197615</v>
      </c>
      <c r="AE108" s="685">
        <f t="shared" si="81"/>
        <v>721</v>
      </c>
      <c r="AF108" s="686">
        <f t="shared" si="71"/>
        <v>0.027344787044411574</v>
      </c>
      <c r="AG108" s="687">
        <v>11</v>
      </c>
      <c r="AH108" s="684">
        <f t="shared" si="72"/>
        <v>0.044715447154471545</v>
      </c>
      <c r="AI108" s="685">
        <v>18</v>
      </c>
      <c r="AJ108" s="684">
        <f t="shared" si="89"/>
        <v>0.006018054162487462</v>
      </c>
      <c r="AK108" s="685">
        <v>25</v>
      </c>
      <c r="AL108" s="684">
        <f t="shared" si="90"/>
        <v>0.13513513513513514</v>
      </c>
      <c r="AM108" s="685">
        <f t="shared" si="82"/>
        <v>54</v>
      </c>
      <c r="AN108" s="688">
        <f t="shared" si="83"/>
        <v>0.015780245470485097</v>
      </c>
      <c r="AO108" s="687">
        <v>13718.759999999998</v>
      </c>
      <c r="AP108" s="684">
        <f t="shared" si="84"/>
        <v>0.04086626438156334</v>
      </c>
      <c r="AQ108" s="685">
        <v>17447.699999999997</v>
      </c>
      <c r="AR108" s="684">
        <f t="shared" si="84"/>
        <v>0.02164084212106621</v>
      </c>
      <c r="AS108" s="685">
        <v>2094.18</v>
      </c>
      <c r="AT108" s="684">
        <f t="shared" si="73"/>
        <v>0.030010507073788554</v>
      </c>
      <c r="AU108" s="685">
        <f t="shared" si="85"/>
        <v>33260.63999999999</v>
      </c>
      <c r="AV108" s="688">
        <f t="shared" si="86"/>
        <v>0.02744911637498264</v>
      </c>
      <c r="AW108" s="687">
        <v>13074.659999999998</v>
      </c>
      <c r="AX108" s="684">
        <f t="shared" si="74"/>
        <v>0.02577811107600772</v>
      </c>
      <c r="AY108" s="685">
        <v>514.14</v>
      </c>
      <c r="AZ108" s="684">
        <f t="shared" si="75"/>
        <v>0.0006930444482588951</v>
      </c>
      <c r="BA108" s="685">
        <v>0</v>
      </c>
      <c r="BB108" s="684">
        <f t="shared" si="76"/>
        <v>0</v>
      </c>
      <c r="BC108" s="685">
        <f t="shared" si="87"/>
        <v>13588.799999999997</v>
      </c>
      <c r="BD108" s="689">
        <f t="shared" si="88"/>
        <v>0.010714559600045281</v>
      </c>
      <c r="BE108" s="671"/>
      <c r="BF108" s="671"/>
      <c r="BG108" s="721"/>
    </row>
    <row r="109" spans="1:59" ht="11.25" customHeight="1">
      <c r="A109" s="639">
        <v>31000</v>
      </c>
      <c r="B109" s="640" t="s">
        <v>139</v>
      </c>
      <c r="C109" s="786"/>
      <c r="D109" s="686"/>
      <c r="E109" s="704"/>
      <c r="F109" s="688"/>
      <c r="G109" s="704">
        <v>71408.79999999999</v>
      </c>
      <c r="H109" s="688">
        <f t="shared" si="77"/>
        <v>0.015731669474427282</v>
      </c>
      <c r="I109" s="704">
        <v>197885.11</v>
      </c>
      <c r="J109" s="689">
        <f t="shared" si="78"/>
        <v>0.04383578202103352</v>
      </c>
      <c r="K109" s="597"/>
      <c r="L109" s="706">
        <v>76.099</v>
      </c>
      <c r="M109" s="707">
        <v>134.366</v>
      </c>
      <c r="N109" s="708">
        <f t="shared" si="79"/>
        <v>391.79650000000004</v>
      </c>
      <c r="O109" s="705">
        <f t="shared" si="68"/>
        <v>0.03880594294851436</v>
      </c>
      <c r="P109" s="687"/>
      <c r="Q109" s="684"/>
      <c r="R109" s="685"/>
      <c r="S109" s="684"/>
      <c r="T109" s="685"/>
      <c r="U109" s="684"/>
      <c r="V109" s="709"/>
      <c r="W109" s="689"/>
      <c r="Y109" s="683">
        <v>1992</v>
      </c>
      <c r="Z109" s="684">
        <f t="shared" si="69"/>
        <v>0.14389944376219027</v>
      </c>
      <c r="AA109" s="685">
        <v>1084</v>
      </c>
      <c r="AB109" s="684">
        <f t="shared" si="70"/>
        <v>0.1130461987694233</v>
      </c>
      <c r="AC109" s="685">
        <v>92</v>
      </c>
      <c r="AD109" s="684">
        <f t="shared" si="80"/>
        <v>0.031345826235093695</v>
      </c>
      <c r="AE109" s="685">
        <f t="shared" si="81"/>
        <v>3168</v>
      </c>
      <c r="AF109" s="686">
        <f t="shared" si="71"/>
        <v>0.12015018773466833</v>
      </c>
      <c r="AG109" s="687"/>
      <c r="AH109" s="684">
        <f t="shared" si="72"/>
        <v>0</v>
      </c>
      <c r="AI109" s="685">
        <v>0</v>
      </c>
      <c r="AJ109" s="684">
        <f t="shared" si="89"/>
        <v>0</v>
      </c>
      <c r="AK109" s="685">
        <v>16</v>
      </c>
      <c r="AL109" s="684">
        <f t="shared" si="90"/>
        <v>0.08648648648648649</v>
      </c>
      <c r="AM109" s="685">
        <f t="shared" si="82"/>
        <v>16</v>
      </c>
      <c r="AN109" s="688">
        <f t="shared" si="83"/>
        <v>0.004675628287551139</v>
      </c>
      <c r="AO109" s="687">
        <v>2416.7999999999997</v>
      </c>
      <c r="AP109" s="684">
        <f t="shared" si="84"/>
        <v>0.007199308666188656</v>
      </c>
      <c r="AQ109" s="685">
        <v>66881.51999999999</v>
      </c>
      <c r="AR109" s="684">
        <f t="shared" si="84"/>
        <v>0.08295491183003675</v>
      </c>
      <c r="AS109" s="685">
        <v>1885.56</v>
      </c>
      <c r="AT109" s="684">
        <f t="shared" si="73"/>
        <v>0.027020892052284307</v>
      </c>
      <c r="AU109" s="685">
        <f t="shared" si="85"/>
        <v>71183.87999999999</v>
      </c>
      <c r="AV109" s="688">
        <f t="shared" si="86"/>
        <v>0.058746151792112226</v>
      </c>
      <c r="AW109" s="687">
        <v>23791.8</v>
      </c>
      <c r="AX109" s="684">
        <f t="shared" si="74"/>
        <v>0.046908115629634775</v>
      </c>
      <c r="AY109" s="685">
        <v>39787.14</v>
      </c>
      <c r="AZ109" s="684">
        <f t="shared" si="75"/>
        <v>0.05363180551814568</v>
      </c>
      <c r="BA109" s="685">
        <v>209.76</v>
      </c>
      <c r="BB109" s="684">
        <f t="shared" si="76"/>
        <v>0.010925956021151848</v>
      </c>
      <c r="BC109" s="685">
        <f t="shared" si="87"/>
        <v>63788.700000000004</v>
      </c>
      <c r="BD109" s="689">
        <f t="shared" si="88"/>
        <v>0.050296407921185726</v>
      </c>
      <c r="BE109" s="671"/>
      <c r="BF109" s="671"/>
      <c r="BG109" s="721"/>
    </row>
    <row r="110" spans="1:59" ht="11.25" customHeight="1">
      <c r="A110" s="639">
        <v>41000</v>
      </c>
      <c r="B110" s="640" t="s">
        <v>363</v>
      </c>
      <c r="C110" s="786"/>
      <c r="D110" s="686"/>
      <c r="E110" s="704"/>
      <c r="F110" s="688"/>
      <c r="G110" s="704">
        <v>103221</v>
      </c>
      <c r="H110" s="688">
        <f t="shared" si="77"/>
        <v>0.022740035609334686</v>
      </c>
      <c r="I110" s="704">
        <v>117598.16</v>
      </c>
      <c r="J110" s="689">
        <f t="shared" si="78"/>
        <v>0.02605050631568299</v>
      </c>
      <c r="K110" s="597"/>
      <c r="L110" s="706">
        <v>59.439</v>
      </c>
      <c r="M110" s="707">
        <v>105.327</v>
      </c>
      <c r="N110" s="708">
        <f t="shared" si="79"/>
        <v>306.58799999999997</v>
      </c>
      <c r="O110" s="705">
        <f t="shared" si="68"/>
        <v>0.03036636732767934</v>
      </c>
      <c r="P110" s="687"/>
      <c r="Q110" s="684"/>
      <c r="R110" s="685"/>
      <c r="S110" s="684"/>
      <c r="T110" s="685"/>
      <c r="U110" s="684"/>
      <c r="V110" s="709"/>
      <c r="W110" s="689"/>
      <c r="Y110" s="683">
        <v>531</v>
      </c>
      <c r="Z110" s="684">
        <f t="shared" si="69"/>
        <v>0.03835873726793325</v>
      </c>
      <c r="AA110" s="685">
        <v>189</v>
      </c>
      <c r="AB110" s="684">
        <f t="shared" si="70"/>
        <v>0.019710084471790592</v>
      </c>
      <c r="AC110" s="685">
        <v>69</v>
      </c>
      <c r="AD110" s="684">
        <f t="shared" si="80"/>
        <v>0.023509369676320273</v>
      </c>
      <c r="AE110" s="685">
        <f t="shared" si="81"/>
        <v>789</v>
      </c>
      <c r="AF110" s="686">
        <f t="shared" si="71"/>
        <v>0.029923768346797133</v>
      </c>
      <c r="AG110" s="687">
        <v>4</v>
      </c>
      <c r="AH110" s="684">
        <f t="shared" si="72"/>
        <v>0.016260162601626018</v>
      </c>
      <c r="AI110" s="685">
        <v>6</v>
      </c>
      <c r="AJ110" s="684">
        <f t="shared" si="89"/>
        <v>0.0020060180541624875</v>
      </c>
      <c r="AK110" s="685">
        <v>12</v>
      </c>
      <c r="AL110" s="684">
        <f t="shared" si="90"/>
        <v>0.06486486486486487</v>
      </c>
      <c r="AM110" s="685">
        <f t="shared" si="82"/>
        <v>22</v>
      </c>
      <c r="AN110" s="688">
        <f t="shared" si="83"/>
        <v>0.006428988895382817</v>
      </c>
      <c r="AO110" s="687">
        <v>11096.58</v>
      </c>
      <c r="AP110" s="684">
        <f t="shared" si="84"/>
        <v>0.03305515746402504</v>
      </c>
      <c r="AQ110" s="685">
        <v>56590.62</v>
      </c>
      <c r="AR110" s="684">
        <f t="shared" si="84"/>
        <v>0.07019083735697268</v>
      </c>
      <c r="AS110" s="685">
        <v>1157.7</v>
      </c>
      <c r="AT110" s="684">
        <f t="shared" si="73"/>
        <v>0.0165903427782354</v>
      </c>
      <c r="AU110" s="685">
        <f t="shared" si="85"/>
        <v>68844.9</v>
      </c>
      <c r="AV110" s="688">
        <f t="shared" si="86"/>
        <v>0.05681585417250067</v>
      </c>
      <c r="AW110" s="687">
        <v>1678.92</v>
      </c>
      <c r="AX110" s="684">
        <f t="shared" si="74"/>
        <v>0.0033101729794679856</v>
      </c>
      <c r="AY110" s="685">
        <v>65804.28</v>
      </c>
      <c r="AZ110" s="684">
        <f t="shared" si="75"/>
        <v>0.08870208683563592</v>
      </c>
      <c r="BA110" s="685">
        <v>3105.9</v>
      </c>
      <c r="BB110" s="684">
        <f t="shared" si="76"/>
        <v>0.16177978073081392</v>
      </c>
      <c r="BC110" s="685">
        <f t="shared" si="87"/>
        <v>70589.09999999999</v>
      </c>
      <c r="BD110" s="689">
        <f t="shared" si="88"/>
        <v>0.05565841862883819</v>
      </c>
      <c r="BE110" s="671"/>
      <c r="BF110" s="671"/>
      <c r="BG110" s="721"/>
    </row>
    <row r="111" spans="1:59" ht="11.25" customHeight="1">
      <c r="A111" s="639">
        <v>43000</v>
      </c>
      <c r="B111" s="640" t="s">
        <v>141</v>
      </c>
      <c r="C111" s="786"/>
      <c r="D111" s="686"/>
      <c r="E111" s="704"/>
      <c r="F111" s="688"/>
      <c r="G111" s="704">
        <v>137065.43</v>
      </c>
      <c r="H111" s="688">
        <f t="shared" si="77"/>
        <v>0.03019611085930935</v>
      </c>
      <c r="I111" s="704">
        <v>130241.20000000001</v>
      </c>
      <c r="J111" s="689">
        <f t="shared" si="78"/>
        <v>0.02885120994377915</v>
      </c>
      <c r="K111" s="597"/>
      <c r="L111" s="706">
        <v>58.662</v>
      </c>
      <c r="M111" s="707">
        <v>111.016</v>
      </c>
      <c r="N111" s="708">
        <f t="shared" si="79"/>
        <v>313.179</v>
      </c>
      <c r="O111" s="705">
        <f t="shared" si="68"/>
        <v>0.031019180637582973</v>
      </c>
      <c r="P111" s="687"/>
      <c r="Q111" s="684"/>
      <c r="R111" s="685"/>
      <c r="S111" s="684"/>
      <c r="T111" s="685"/>
      <c r="U111" s="684"/>
      <c r="V111" s="709"/>
      <c r="W111" s="689"/>
      <c r="Y111" s="683">
        <v>329</v>
      </c>
      <c r="Z111" s="684">
        <f t="shared" si="69"/>
        <v>0.023766524597269377</v>
      </c>
      <c r="AA111" s="685">
        <v>93</v>
      </c>
      <c r="AB111" s="684">
        <f t="shared" si="70"/>
        <v>0.009698612994055689</v>
      </c>
      <c r="AC111" s="685">
        <v>34</v>
      </c>
      <c r="AD111" s="684">
        <f t="shared" si="80"/>
        <v>0.011584327086882453</v>
      </c>
      <c r="AE111" s="685">
        <f t="shared" si="81"/>
        <v>456</v>
      </c>
      <c r="AF111" s="686">
        <f t="shared" si="71"/>
        <v>0.017294345204232564</v>
      </c>
      <c r="AG111" s="687">
        <v>7</v>
      </c>
      <c r="AH111" s="684">
        <f t="shared" si="72"/>
        <v>0.028455284552845527</v>
      </c>
      <c r="AI111" s="685">
        <v>1</v>
      </c>
      <c r="AJ111" s="684">
        <f t="shared" si="89"/>
        <v>0.00033433634236041456</v>
      </c>
      <c r="AK111" s="685">
        <v>28</v>
      </c>
      <c r="AL111" s="684">
        <f t="shared" si="90"/>
        <v>0.15135135135135136</v>
      </c>
      <c r="AM111" s="685">
        <f t="shared" si="82"/>
        <v>36</v>
      </c>
      <c r="AN111" s="688">
        <f t="shared" si="83"/>
        <v>0.010520163646990065</v>
      </c>
      <c r="AO111" s="687">
        <v>6903.839999999999</v>
      </c>
      <c r="AP111" s="684">
        <f t="shared" si="84"/>
        <v>0.02056557230303703</v>
      </c>
      <c r="AQ111" s="685">
        <v>25223.64</v>
      </c>
      <c r="AR111" s="684">
        <f t="shared" si="84"/>
        <v>0.03128554542768448</v>
      </c>
      <c r="AS111" s="685">
        <v>2249.22</v>
      </c>
      <c r="AT111" s="684">
        <f t="shared" si="73"/>
        <v>0.03223229747228351</v>
      </c>
      <c r="AU111" s="685">
        <f t="shared" si="85"/>
        <v>34376.7</v>
      </c>
      <c r="AV111" s="688">
        <f t="shared" si="86"/>
        <v>0.028370170835193366</v>
      </c>
      <c r="AW111" s="687">
        <v>27711.12</v>
      </c>
      <c r="AX111" s="684">
        <f t="shared" si="74"/>
        <v>0.0546354803414069</v>
      </c>
      <c r="AY111" s="685">
        <v>1695.1799999999998</v>
      </c>
      <c r="AZ111" s="684">
        <f t="shared" si="75"/>
        <v>0.002285048990157377</v>
      </c>
      <c r="BA111" s="685">
        <v>226.85999999999999</v>
      </c>
      <c r="BB111" s="684">
        <f t="shared" si="76"/>
        <v>0.011816658957658792</v>
      </c>
      <c r="BC111" s="685">
        <f t="shared" si="87"/>
        <v>29633.16</v>
      </c>
      <c r="BD111" s="689">
        <f t="shared" si="88"/>
        <v>0.02336529045667593</v>
      </c>
      <c r="BE111" s="671"/>
      <c r="BF111" s="671"/>
      <c r="BG111" s="721"/>
    </row>
    <row r="112" spans="1:59" ht="11.25" customHeight="1">
      <c r="A112" s="639">
        <v>51000</v>
      </c>
      <c r="B112" s="640" t="s">
        <v>364</v>
      </c>
      <c r="C112" s="786"/>
      <c r="D112" s="686"/>
      <c r="E112" s="704"/>
      <c r="F112" s="688"/>
      <c r="G112" s="704">
        <v>28767.600000000002</v>
      </c>
      <c r="H112" s="688">
        <f t="shared" si="77"/>
        <v>0.006337627502108065</v>
      </c>
      <c r="I112" s="704">
        <v>12912.69</v>
      </c>
      <c r="J112" s="689">
        <f t="shared" si="78"/>
        <v>0.00286043686735793</v>
      </c>
      <c r="K112" s="597"/>
      <c r="L112" s="706">
        <v>62.823</v>
      </c>
      <c r="M112" s="707">
        <v>59.542</v>
      </c>
      <c r="N112" s="708">
        <f t="shared" si="79"/>
        <v>246.3705</v>
      </c>
      <c r="O112" s="705">
        <f t="shared" si="68"/>
        <v>0.024402054554333582</v>
      </c>
      <c r="P112" s="687"/>
      <c r="Q112" s="684"/>
      <c r="R112" s="685"/>
      <c r="S112" s="684"/>
      <c r="T112" s="685"/>
      <c r="U112" s="684"/>
      <c r="V112" s="709"/>
      <c r="W112" s="689"/>
      <c r="Y112" s="683">
        <v>68</v>
      </c>
      <c r="Z112" s="684">
        <f t="shared" si="69"/>
        <v>0.004912230007946255</v>
      </c>
      <c r="AA112" s="685">
        <v>84</v>
      </c>
      <c r="AB112" s="684">
        <f t="shared" si="70"/>
        <v>0.008760037543018042</v>
      </c>
      <c r="AC112" s="685">
        <v>24</v>
      </c>
      <c r="AD112" s="684">
        <f t="shared" si="80"/>
        <v>0.008177172061328791</v>
      </c>
      <c r="AE112" s="685">
        <f t="shared" si="81"/>
        <v>176</v>
      </c>
      <c r="AF112" s="686">
        <f t="shared" si="71"/>
        <v>0.006675010429703796</v>
      </c>
      <c r="AG112" s="687">
        <v>10</v>
      </c>
      <c r="AH112" s="684">
        <f t="shared" si="72"/>
        <v>0.04065040650406504</v>
      </c>
      <c r="AI112" s="685">
        <v>20</v>
      </c>
      <c r="AJ112" s="684">
        <f t="shared" si="89"/>
        <v>0.006686726847208292</v>
      </c>
      <c r="AK112" s="685"/>
      <c r="AL112" s="684">
        <f t="shared" si="90"/>
        <v>0</v>
      </c>
      <c r="AM112" s="685">
        <f t="shared" si="82"/>
        <v>30</v>
      </c>
      <c r="AN112" s="688">
        <f t="shared" si="83"/>
        <v>0.008766803039158387</v>
      </c>
      <c r="AO112" s="687">
        <v>6274.02</v>
      </c>
      <c r="AP112" s="684">
        <f t="shared" si="84"/>
        <v>0.018689426745217213</v>
      </c>
      <c r="AQ112" s="685">
        <v>9756.300000000001</v>
      </c>
      <c r="AR112" s="684">
        <f t="shared" si="84"/>
        <v>0.012100996004387875</v>
      </c>
      <c r="AS112" s="685">
        <v>581.4</v>
      </c>
      <c r="AT112" s="684">
        <f t="shared" si="73"/>
        <v>0.008331713994356104</v>
      </c>
      <c r="AU112" s="685">
        <f t="shared" si="85"/>
        <v>16611.72</v>
      </c>
      <c r="AV112" s="688">
        <f t="shared" si="86"/>
        <v>0.013709208105094394</v>
      </c>
      <c r="AW112" s="687">
        <v>10552.92</v>
      </c>
      <c r="AX112" s="684">
        <f t="shared" si="74"/>
        <v>0.020806227002172405</v>
      </c>
      <c r="AY112" s="685">
        <v>14911.38</v>
      </c>
      <c r="AZ112" s="684">
        <f t="shared" si="75"/>
        <v>0.020100068317731985</v>
      </c>
      <c r="BA112" s="685">
        <v>0</v>
      </c>
      <c r="BB112" s="684">
        <f t="shared" si="76"/>
        <v>0</v>
      </c>
      <c r="BC112" s="685">
        <f t="shared" si="87"/>
        <v>25464.3</v>
      </c>
      <c r="BD112" s="689">
        <f t="shared" si="88"/>
        <v>0.020078208526391816</v>
      </c>
      <c r="BE112" s="671"/>
      <c r="BF112" s="671"/>
      <c r="BG112" s="721"/>
    </row>
    <row r="113" spans="1:59" ht="11.25" customHeight="1">
      <c r="A113" s="639">
        <v>52000</v>
      </c>
      <c r="B113" s="640" t="s">
        <v>365</v>
      </c>
      <c r="C113" s="786"/>
      <c r="D113" s="686"/>
      <c r="E113" s="704"/>
      <c r="F113" s="688"/>
      <c r="G113" s="704">
        <v>5683</v>
      </c>
      <c r="H113" s="688">
        <f t="shared" si="77"/>
        <v>0.0012519896374560315</v>
      </c>
      <c r="I113" s="704">
        <v>2375.04</v>
      </c>
      <c r="J113" s="689">
        <f t="shared" si="78"/>
        <v>0.0005261221308224528</v>
      </c>
      <c r="K113" s="597"/>
      <c r="L113" s="706">
        <v>13.423</v>
      </c>
      <c r="M113" s="707">
        <v>6.584</v>
      </c>
      <c r="N113" s="708">
        <f t="shared" si="79"/>
        <v>43.433499999999995</v>
      </c>
      <c r="O113" s="705">
        <f t="shared" si="68"/>
        <v>0.0043019218473220105</v>
      </c>
      <c r="P113" s="687"/>
      <c r="Q113" s="684"/>
      <c r="R113" s="685"/>
      <c r="S113" s="684"/>
      <c r="T113" s="685"/>
      <c r="U113" s="684"/>
      <c r="V113" s="709"/>
      <c r="W113" s="689"/>
      <c r="Y113" s="683"/>
      <c r="Z113" s="684">
        <f t="shared" si="69"/>
        <v>0</v>
      </c>
      <c r="AA113" s="685">
        <v>20</v>
      </c>
      <c r="AB113" s="684">
        <f t="shared" si="70"/>
        <v>0.002085723224528105</v>
      </c>
      <c r="AC113" s="685">
        <v>4</v>
      </c>
      <c r="AD113" s="684">
        <f t="shared" si="80"/>
        <v>0.001362862010221465</v>
      </c>
      <c r="AE113" s="685">
        <f t="shared" si="81"/>
        <v>24</v>
      </c>
      <c r="AF113" s="686">
        <f t="shared" si="71"/>
        <v>0.0009102286949596086</v>
      </c>
      <c r="AG113" s="687"/>
      <c r="AH113" s="684">
        <f t="shared" si="72"/>
        <v>0</v>
      </c>
      <c r="AI113" s="685">
        <v>0</v>
      </c>
      <c r="AJ113" s="684">
        <f t="shared" si="89"/>
        <v>0</v>
      </c>
      <c r="AK113" s="685"/>
      <c r="AL113" s="684">
        <f t="shared" si="90"/>
        <v>0</v>
      </c>
      <c r="AM113" s="685">
        <f t="shared" si="82"/>
        <v>0</v>
      </c>
      <c r="AN113" s="688">
        <f t="shared" si="83"/>
        <v>0</v>
      </c>
      <c r="AO113" s="687">
        <v>0</v>
      </c>
      <c r="AP113" s="684">
        <f t="shared" si="84"/>
        <v>0</v>
      </c>
      <c r="AQ113" s="685">
        <v>3947</v>
      </c>
      <c r="AR113" s="684">
        <f t="shared" si="84"/>
        <v>0.0048955681179667435</v>
      </c>
      <c r="AS113" s="685">
        <v>0</v>
      </c>
      <c r="AT113" s="684">
        <f t="shared" si="73"/>
        <v>0</v>
      </c>
      <c r="AU113" s="685">
        <f t="shared" si="85"/>
        <v>3947</v>
      </c>
      <c r="AV113" s="688">
        <f t="shared" si="86"/>
        <v>0.003257353506488646</v>
      </c>
      <c r="AW113" s="687">
        <v>0</v>
      </c>
      <c r="AX113" s="684">
        <f t="shared" si="74"/>
        <v>0</v>
      </c>
      <c r="AY113" s="685">
        <v>4783</v>
      </c>
      <c r="AZ113" s="684">
        <f t="shared" si="75"/>
        <v>0.006447332625398327</v>
      </c>
      <c r="BA113" s="685">
        <v>0</v>
      </c>
      <c r="BB113" s="684">
        <f t="shared" si="76"/>
        <v>0</v>
      </c>
      <c r="BC113" s="685">
        <f t="shared" si="87"/>
        <v>4783</v>
      </c>
      <c r="BD113" s="689">
        <f t="shared" si="88"/>
        <v>0.003771321865581699</v>
      </c>
      <c r="BE113" s="671"/>
      <c r="BF113" s="671"/>
      <c r="BG113" s="721"/>
    </row>
    <row r="114" spans="1:59" ht="11.25" customHeight="1">
      <c r="A114" s="639">
        <v>53000</v>
      </c>
      <c r="B114" s="640" t="s">
        <v>293</v>
      </c>
      <c r="C114" s="786"/>
      <c r="D114" s="686"/>
      <c r="E114" s="704"/>
      <c r="F114" s="688"/>
      <c r="G114" s="704">
        <v>1362</v>
      </c>
      <c r="H114" s="688">
        <f t="shared" si="77"/>
        <v>0.00030005452863190475</v>
      </c>
      <c r="I114" s="704">
        <v>10083.9</v>
      </c>
      <c r="J114" s="689">
        <f t="shared" si="78"/>
        <v>0.002233799411799604</v>
      </c>
      <c r="K114" s="597"/>
      <c r="L114" s="706">
        <v>6</v>
      </c>
      <c r="M114" s="707">
        <v>10.667</v>
      </c>
      <c r="N114" s="708">
        <f t="shared" si="79"/>
        <v>31.0005</v>
      </c>
      <c r="O114" s="705">
        <f t="shared" si="68"/>
        <v>0.0030704808092349455</v>
      </c>
      <c r="P114" s="687"/>
      <c r="Q114" s="684"/>
      <c r="R114" s="685"/>
      <c r="S114" s="684"/>
      <c r="T114" s="685"/>
      <c r="U114" s="684"/>
      <c r="V114" s="709"/>
      <c r="W114" s="689"/>
      <c r="Y114" s="683">
        <v>13</v>
      </c>
      <c r="Z114" s="684">
        <f t="shared" si="69"/>
        <v>0.0009391027956367839</v>
      </c>
      <c r="AA114" s="685">
        <v>31</v>
      </c>
      <c r="AB114" s="684">
        <f t="shared" si="70"/>
        <v>0.003232870998018563</v>
      </c>
      <c r="AC114" s="685">
        <v>1</v>
      </c>
      <c r="AD114" s="684">
        <f t="shared" si="80"/>
        <v>0.00034071550255536625</v>
      </c>
      <c r="AE114" s="685">
        <f t="shared" si="81"/>
        <v>45</v>
      </c>
      <c r="AF114" s="686">
        <f t="shared" si="71"/>
        <v>0.001706678803049266</v>
      </c>
      <c r="AG114" s="687"/>
      <c r="AH114" s="684">
        <f t="shared" si="72"/>
        <v>0</v>
      </c>
      <c r="AI114" s="685">
        <v>7</v>
      </c>
      <c r="AJ114" s="684">
        <f t="shared" si="89"/>
        <v>0.002340354396522902</v>
      </c>
      <c r="AK114" s="685"/>
      <c r="AL114" s="684">
        <f t="shared" si="90"/>
        <v>0</v>
      </c>
      <c r="AM114" s="685">
        <f t="shared" si="82"/>
        <v>7</v>
      </c>
      <c r="AN114" s="688">
        <f t="shared" si="83"/>
        <v>0.0020455873758036236</v>
      </c>
      <c r="AO114" s="687">
        <v>0</v>
      </c>
      <c r="AP114" s="684">
        <f t="shared" si="84"/>
        <v>0</v>
      </c>
      <c r="AQ114" s="685">
        <v>9314</v>
      </c>
      <c r="AR114" s="684">
        <f t="shared" si="84"/>
        <v>0.01155239965815613</v>
      </c>
      <c r="AS114" s="685">
        <v>0</v>
      </c>
      <c r="AT114" s="684">
        <f t="shared" si="73"/>
        <v>0</v>
      </c>
      <c r="AU114" s="685">
        <f t="shared" si="85"/>
        <v>9314</v>
      </c>
      <c r="AV114" s="688">
        <f t="shared" si="86"/>
        <v>0.007686595023925829</v>
      </c>
      <c r="AW114" s="687">
        <v>0</v>
      </c>
      <c r="AX114" s="684">
        <f t="shared" si="74"/>
        <v>0</v>
      </c>
      <c r="AY114" s="685">
        <v>9625</v>
      </c>
      <c r="AZ114" s="684">
        <f t="shared" si="75"/>
        <v>0.012974195383537297</v>
      </c>
      <c r="BA114" s="685">
        <v>0</v>
      </c>
      <c r="BB114" s="684">
        <f t="shared" si="76"/>
        <v>0</v>
      </c>
      <c r="BC114" s="685">
        <f t="shared" si="87"/>
        <v>9625</v>
      </c>
      <c r="BD114" s="689">
        <f t="shared" si="88"/>
        <v>0.007589164322856753</v>
      </c>
      <c r="BE114" s="671"/>
      <c r="BF114" s="671"/>
      <c r="BG114" s="721"/>
    </row>
    <row r="115" spans="1:59" ht="11.25" customHeight="1">
      <c r="A115" s="639">
        <v>54000</v>
      </c>
      <c r="B115" s="640" t="s">
        <v>145</v>
      </c>
      <c r="C115" s="786"/>
      <c r="D115" s="686"/>
      <c r="E115" s="704"/>
      <c r="F115" s="688"/>
      <c r="G115" s="704">
        <v>2750.25</v>
      </c>
      <c r="H115" s="688">
        <f t="shared" si="77"/>
        <v>0.0006058920465270897</v>
      </c>
      <c r="I115" s="704">
        <v>8198.01</v>
      </c>
      <c r="J115" s="689">
        <f t="shared" si="78"/>
        <v>0.0018160344624527486</v>
      </c>
      <c r="K115" s="597"/>
      <c r="L115" s="706">
        <v>21.978</v>
      </c>
      <c r="M115" s="707">
        <v>36.357</v>
      </c>
      <c r="N115" s="708">
        <f t="shared" si="79"/>
        <v>109.4805</v>
      </c>
      <c r="O115" s="705">
        <f t="shared" si="68"/>
        <v>0.010843624271719698</v>
      </c>
      <c r="P115" s="687"/>
      <c r="Q115" s="684"/>
      <c r="R115" s="685"/>
      <c r="S115" s="684"/>
      <c r="T115" s="685"/>
      <c r="U115" s="684"/>
      <c r="V115" s="709"/>
      <c r="W115" s="689"/>
      <c r="Y115" s="683">
        <v>54</v>
      </c>
      <c r="Z115" s="684">
        <f t="shared" si="69"/>
        <v>0.0039008885357220257</v>
      </c>
      <c r="AA115" s="685">
        <v>45</v>
      </c>
      <c r="AB115" s="684">
        <f t="shared" si="70"/>
        <v>0.004692877255188237</v>
      </c>
      <c r="AC115" s="685">
        <v>15</v>
      </c>
      <c r="AD115" s="684">
        <f t="shared" si="80"/>
        <v>0.005110732538330494</v>
      </c>
      <c r="AE115" s="685">
        <f t="shared" si="81"/>
        <v>114</v>
      </c>
      <c r="AF115" s="686">
        <f t="shared" si="71"/>
        <v>0.004323586301058141</v>
      </c>
      <c r="AG115" s="687">
        <v>4</v>
      </c>
      <c r="AH115" s="684">
        <f t="shared" si="72"/>
        <v>0.016260162601626018</v>
      </c>
      <c r="AI115" s="685">
        <v>1</v>
      </c>
      <c r="AJ115" s="684">
        <f t="shared" si="89"/>
        <v>0.00033433634236041456</v>
      </c>
      <c r="AK115" s="685"/>
      <c r="AL115" s="684">
        <f t="shared" si="90"/>
        <v>0</v>
      </c>
      <c r="AM115" s="685">
        <f t="shared" si="82"/>
        <v>5</v>
      </c>
      <c r="AN115" s="688">
        <f t="shared" si="83"/>
        <v>0.0014611338398597311</v>
      </c>
      <c r="AO115" s="687">
        <v>3352.7400000000002</v>
      </c>
      <c r="AP115" s="684">
        <f t="shared" si="84"/>
        <v>0.009987342824179643</v>
      </c>
      <c r="AQ115" s="685">
        <v>7314.42</v>
      </c>
      <c r="AR115" s="684">
        <f t="shared" si="84"/>
        <v>0.00907226788786884</v>
      </c>
      <c r="AS115" s="685">
        <v>1269.9</v>
      </c>
      <c r="AT115" s="684">
        <f t="shared" si="73"/>
        <v>0.018198217408725174</v>
      </c>
      <c r="AU115" s="685">
        <f t="shared" si="85"/>
        <v>11937.06</v>
      </c>
      <c r="AV115" s="688">
        <f t="shared" si="86"/>
        <v>0.009851336267586865</v>
      </c>
      <c r="AW115" s="687">
        <v>2198.1</v>
      </c>
      <c r="AX115" s="684">
        <f t="shared" si="74"/>
        <v>0.0043337926918308066</v>
      </c>
      <c r="AY115" s="685">
        <v>1597.3200000000002</v>
      </c>
      <c r="AZ115" s="684">
        <f t="shared" si="75"/>
        <v>0.002153136807276031</v>
      </c>
      <c r="BA115" s="685">
        <v>0</v>
      </c>
      <c r="BB115" s="684">
        <f t="shared" si="76"/>
        <v>0</v>
      </c>
      <c r="BC115" s="685">
        <f t="shared" si="87"/>
        <v>3795.42</v>
      </c>
      <c r="BD115" s="689">
        <f t="shared" si="88"/>
        <v>0.0029926302394033227</v>
      </c>
      <c r="BE115" s="671"/>
      <c r="BF115" s="671"/>
      <c r="BG115" s="721"/>
    </row>
    <row r="116" spans="1:58" ht="11.25" customHeight="1">
      <c r="A116" s="639">
        <v>55000</v>
      </c>
      <c r="B116" s="640" t="s">
        <v>280</v>
      </c>
      <c r="C116" s="786"/>
      <c r="D116" s="686"/>
      <c r="E116" s="704"/>
      <c r="F116" s="688"/>
      <c r="G116" s="704">
        <v>431.25</v>
      </c>
      <c r="H116" s="688">
        <f t="shared" si="77"/>
        <v>9.500625218245884E-05</v>
      </c>
      <c r="I116" s="704">
        <v>12357.83</v>
      </c>
      <c r="J116" s="689">
        <f t="shared" si="78"/>
        <v>0.0027375235162109403</v>
      </c>
      <c r="K116" s="597"/>
      <c r="L116" s="706">
        <v>5.114</v>
      </c>
      <c r="M116" s="707">
        <v>10.533</v>
      </c>
      <c r="N116" s="708">
        <f t="shared" si="79"/>
        <v>28.5845</v>
      </c>
      <c r="O116" s="705">
        <f t="shared" si="68"/>
        <v>0.002831185261256312</v>
      </c>
      <c r="P116" s="687"/>
      <c r="Q116" s="684"/>
      <c r="R116" s="685"/>
      <c r="S116" s="684"/>
      <c r="T116" s="685"/>
      <c r="U116" s="684"/>
      <c r="V116" s="709"/>
      <c r="W116" s="689"/>
      <c r="Y116" s="683">
        <v>35</v>
      </c>
      <c r="Z116" s="684">
        <f t="shared" si="69"/>
        <v>0.002528353680560572</v>
      </c>
      <c r="AA116" s="685">
        <v>0</v>
      </c>
      <c r="AB116" s="684">
        <f t="shared" si="70"/>
        <v>0</v>
      </c>
      <c r="AC116" s="685"/>
      <c r="AD116" s="684">
        <f t="shared" si="80"/>
        <v>0</v>
      </c>
      <c r="AE116" s="685">
        <f t="shared" si="81"/>
        <v>35</v>
      </c>
      <c r="AF116" s="686">
        <f t="shared" si="71"/>
        <v>0.0013274168468160959</v>
      </c>
      <c r="AG116" s="687"/>
      <c r="AH116" s="684">
        <f t="shared" si="72"/>
        <v>0</v>
      </c>
      <c r="AI116" s="685">
        <v>0</v>
      </c>
      <c r="AJ116" s="684">
        <f t="shared" si="89"/>
        <v>0</v>
      </c>
      <c r="AK116" s="685"/>
      <c r="AL116" s="684">
        <f t="shared" si="90"/>
        <v>0</v>
      </c>
      <c r="AM116" s="685">
        <f t="shared" si="82"/>
        <v>0</v>
      </c>
      <c r="AN116" s="688">
        <f t="shared" si="83"/>
        <v>0</v>
      </c>
      <c r="AO116" s="687">
        <v>6502</v>
      </c>
      <c r="AP116" s="684">
        <f t="shared" si="84"/>
        <v>0.019368547230866704</v>
      </c>
      <c r="AQ116" s="685">
        <v>0</v>
      </c>
      <c r="AR116" s="684">
        <f t="shared" si="84"/>
        <v>0</v>
      </c>
      <c r="AS116" s="685">
        <v>0</v>
      </c>
      <c r="AT116" s="684">
        <f t="shared" si="73"/>
        <v>0</v>
      </c>
      <c r="AU116" s="685">
        <f t="shared" si="85"/>
        <v>6502</v>
      </c>
      <c r="AV116" s="688">
        <f t="shared" si="86"/>
        <v>0.005365926652948866</v>
      </c>
      <c r="AW116" s="687">
        <v>1771</v>
      </c>
      <c r="AX116" s="684">
        <f t="shared" si="74"/>
        <v>0.003491718692157936</v>
      </c>
      <c r="AY116" s="685">
        <v>0</v>
      </c>
      <c r="AZ116" s="684">
        <f t="shared" si="75"/>
        <v>0</v>
      </c>
      <c r="BA116" s="685">
        <v>0</v>
      </c>
      <c r="BB116" s="684">
        <f t="shared" si="76"/>
        <v>0</v>
      </c>
      <c r="BC116" s="685">
        <f t="shared" si="87"/>
        <v>1771</v>
      </c>
      <c r="BD116" s="689">
        <f t="shared" si="88"/>
        <v>0.0013964062354056427</v>
      </c>
      <c r="BE116" s="671"/>
      <c r="BF116" s="671"/>
    </row>
    <row r="117" spans="1:58" ht="11.25" customHeight="1" thickBot="1">
      <c r="A117" s="690">
        <v>56000</v>
      </c>
      <c r="B117" s="691" t="s">
        <v>147</v>
      </c>
      <c r="C117" s="789"/>
      <c r="D117" s="695"/>
      <c r="E117" s="711"/>
      <c r="F117" s="716"/>
      <c r="G117" s="711">
        <v>0</v>
      </c>
      <c r="H117" s="716">
        <f t="shared" si="77"/>
        <v>0</v>
      </c>
      <c r="I117" s="711">
        <v>5832.66</v>
      </c>
      <c r="J117" s="717">
        <f t="shared" si="78"/>
        <v>0.0012920588737717626</v>
      </c>
      <c r="K117" s="597"/>
      <c r="L117" s="713">
        <v>2.229</v>
      </c>
      <c r="M117" s="714">
        <v>5.273</v>
      </c>
      <c r="N117" s="715">
        <f t="shared" si="79"/>
        <v>13.482</v>
      </c>
      <c r="O117" s="712">
        <f t="shared" si="68"/>
        <v>0.00133534047096355</v>
      </c>
      <c r="P117" s="696"/>
      <c r="Q117" s="693"/>
      <c r="R117" s="694"/>
      <c r="S117" s="693"/>
      <c r="T117" s="694"/>
      <c r="U117" s="693"/>
      <c r="V117" s="718"/>
      <c r="W117" s="717"/>
      <c r="Y117" s="726">
        <v>20</v>
      </c>
      <c r="Z117" s="727">
        <f t="shared" si="69"/>
        <v>0.0014447735317488983</v>
      </c>
      <c r="AA117" s="728">
        <v>0</v>
      </c>
      <c r="AB117" s="727">
        <f t="shared" si="70"/>
        <v>0</v>
      </c>
      <c r="AC117" s="728"/>
      <c r="AD117" s="727">
        <f t="shared" si="80"/>
        <v>0</v>
      </c>
      <c r="AE117" s="728">
        <f t="shared" si="81"/>
        <v>20</v>
      </c>
      <c r="AF117" s="804">
        <f t="shared" si="71"/>
        <v>0.0007585239124663405</v>
      </c>
      <c r="AG117" s="815"/>
      <c r="AH117" s="727">
        <f t="shared" si="72"/>
        <v>0</v>
      </c>
      <c r="AI117" s="728">
        <v>0</v>
      </c>
      <c r="AJ117" s="727">
        <f t="shared" si="89"/>
        <v>0</v>
      </c>
      <c r="AK117" s="728"/>
      <c r="AL117" s="727">
        <f t="shared" si="90"/>
        <v>0</v>
      </c>
      <c r="AM117" s="728">
        <f t="shared" si="82"/>
        <v>0</v>
      </c>
      <c r="AN117" s="806">
        <f t="shared" si="83"/>
        <v>0</v>
      </c>
      <c r="AO117" s="815">
        <v>0</v>
      </c>
      <c r="AP117" s="727">
        <f t="shared" si="84"/>
        <v>0</v>
      </c>
      <c r="AQ117" s="728">
        <v>0</v>
      </c>
      <c r="AR117" s="727">
        <f t="shared" si="84"/>
        <v>0</v>
      </c>
      <c r="AS117" s="728">
        <v>0</v>
      </c>
      <c r="AT117" s="727">
        <f t="shared" si="73"/>
        <v>0</v>
      </c>
      <c r="AU117" s="728">
        <f t="shared" si="85"/>
        <v>0</v>
      </c>
      <c r="AV117" s="806">
        <f t="shared" si="86"/>
        <v>0</v>
      </c>
      <c r="AW117" s="815">
        <v>0</v>
      </c>
      <c r="AX117" s="727">
        <f t="shared" si="74"/>
        <v>0</v>
      </c>
      <c r="AY117" s="728">
        <v>0</v>
      </c>
      <c r="AZ117" s="727">
        <f t="shared" si="75"/>
        <v>0</v>
      </c>
      <c r="BA117" s="728">
        <v>0</v>
      </c>
      <c r="BB117" s="727">
        <f t="shared" si="76"/>
        <v>0</v>
      </c>
      <c r="BC117" s="728">
        <f t="shared" si="87"/>
        <v>0</v>
      </c>
      <c r="BD117" s="807">
        <f t="shared" si="88"/>
        <v>0</v>
      </c>
      <c r="BE117" s="671"/>
      <c r="BF117" s="671"/>
    </row>
    <row r="118" spans="3:59" ht="9" customHeight="1">
      <c r="C118" s="722"/>
      <c r="D118" s="673"/>
      <c r="E118" s="721"/>
      <c r="G118" s="723"/>
      <c r="H118" s="723"/>
      <c r="I118" s="597"/>
      <c r="J118" s="597"/>
      <c r="K118" s="597"/>
      <c r="L118" s="723"/>
      <c r="M118" s="723"/>
      <c r="N118" s="723"/>
      <c r="O118" s="724"/>
      <c r="U118" s="723"/>
      <c r="V118" s="671"/>
      <c r="W118" s="671"/>
      <c r="Z118" s="724"/>
      <c r="AA118" s="724"/>
      <c r="AB118" s="724"/>
      <c r="AD118" s="724"/>
      <c r="AE118" s="724"/>
      <c r="AF118" s="671"/>
      <c r="AH118" s="724"/>
      <c r="AI118" s="724"/>
      <c r="AJ118" s="724"/>
      <c r="AL118" s="724"/>
      <c r="AM118" s="724"/>
      <c r="AN118" s="671"/>
      <c r="AP118" s="724"/>
      <c r="AQ118" s="724"/>
      <c r="AR118" s="724"/>
      <c r="AT118" s="724"/>
      <c r="AU118" s="724"/>
      <c r="AV118" s="671"/>
      <c r="AX118" s="724"/>
      <c r="AY118" s="724"/>
      <c r="AZ118" s="724"/>
      <c r="BB118" s="724"/>
      <c r="BC118" s="724"/>
      <c r="BD118"/>
      <c r="BE118" s="671"/>
      <c r="BF118" s="671"/>
      <c r="BG118" s="710"/>
    </row>
    <row r="119" spans="1:59" ht="16.5" customHeight="1">
      <c r="A119" s="674" t="s">
        <v>368</v>
      </c>
      <c r="B119" s="675" t="s">
        <v>354</v>
      </c>
      <c r="C119" s="788"/>
      <c r="D119" s="787"/>
      <c r="E119" s="697"/>
      <c r="F119" s="790"/>
      <c r="G119" s="697">
        <f>SUM(G120:G145)</f>
        <v>3513471.1500000004</v>
      </c>
      <c r="H119" s="790">
        <f>SUM(H120:H145)</f>
        <v>0.9999999999999998</v>
      </c>
      <c r="I119" s="697">
        <f>SUM(I120:I145)</f>
        <v>4377706.619999999</v>
      </c>
      <c r="J119" s="791">
        <f>SUM(J120:J145)</f>
        <v>1.0000000000000002</v>
      </c>
      <c r="K119" s="686"/>
      <c r="L119" s="698">
        <f>SUM(L120:L145)</f>
        <v>1977.2999999999997</v>
      </c>
      <c r="M119" s="699">
        <f>SUM(M120:M145)</f>
        <v>3454.7000000000007</v>
      </c>
      <c r="N119" s="700">
        <f>SUM(N120:N145)</f>
        <v>10125.300000000003</v>
      </c>
      <c r="O119" s="701">
        <f>SUM(O120:O145)</f>
        <v>0.9999999999999994</v>
      </c>
      <c r="P119" s="703"/>
      <c r="Q119" s="677"/>
      <c r="R119" s="676"/>
      <c r="S119" s="677"/>
      <c r="T119" s="676"/>
      <c r="U119" s="677"/>
      <c r="V119" s="676"/>
      <c r="W119" s="680"/>
      <c r="Y119" s="809"/>
      <c r="Z119" s="686"/>
      <c r="AA119" s="809"/>
      <c r="AB119" s="686"/>
      <c r="AC119" s="809"/>
      <c r="AD119" s="686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671"/>
      <c r="BF119" s="671"/>
      <c r="BG119" s="710"/>
    </row>
    <row r="120" spans="1:59" ht="11.25" customHeight="1">
      <c r="A120" s="681">
        <v>11000</v>
      </c>
      <c r="B120" s="682" t="s">
        <v>355</v>
      </c>
      <c r="C120" s="786"/>
      <c r="D120" s="686"/>
      <c r="E120" s="704"/>
      <c r="F120" s="688"/>
      <c r="G120" s="704">
        <v>905012.5700000001</v>
      </c>
      <c r="H120" s="688">
        <f>G120/G$119</f>
        <v>0.2575836064571072</v>
      </c>
      <c r="I120" s="704">
        <v>1260722.3599999999</v>
      </c>
      <c r="J120" s="689">
        <f aca="true" t="shared" si="91" ref="J120:J145">I120/I$119</f>
        <v>0.2879869460050752</v>
      </c>
      <c r="K120" s="725"/>
      <c r="L120" s="706">
        <v>427.5</v>
      </c>
      <c r="M120" s="707">
        <v>736.8</v>
      </c>
      <c r="N120" s="708">
        <f>L120*2.5+M120*1.5</f>
        <v>2173.95</v>
      </c>
      <c r="O120" s="705">
        <f aca="true" t="shared" si="92" ref="O120:O145">N120/N$119</f>
        <v>0.21470474948890395</v>
      </c>
      <c r="P120" s="687"/>
      <c r="Q120" s="684"/>
      <c r="R120" s="685"/>
      <c r="S120" s="684"/>
      <c r="T120" s="685"/>
      <c r="U120" s="684"/>
      <c r="V120" s="709"/>
      <c r="W120" s="689"/>
      <c r="Y120" s="809"/>
      <c r="Z120" s="686"/>
      <c r="AA120" s="809"/>
      <c r="AB120" s="686"/>
      <c r="AC120" s="809"/>
      <c r="AD120" s="686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671"/>
      <c r="BF120" s="671"/>
      <c r="BG120" s="710"/>
    </row>
    <row r="121" spans="1:59" ht="11.25" customHeight="1">
      <c r="A121" s="639">
        <v>12000</v>
      </c>
      <c r="B121" s="640" t="s">
        <v>123</v>
      </c>
      <c r="C121" s="786"/>
      <c r="D121" s="686"/>
      <c r="E121" s="704"/>
      <c r="F121" s="688"/>
      <c r="G121" s="704">
        <v>113341.5</v>
      </c>
      <c r="H121" s="688">
        <f aca="true" t="shared" si="93" ref="H121:H145">G121/G$119</f>
        <v>0.03225912357356342</v>
      </c>
      <c r="I121" s="704">
        <v>105571.66</v>
      </c>
      <c r="J121" s="689">
        <f t="shared" si="91"/>
        <v>0.024115745792028433</v>
      </c>
      <c r="K121" s="725"/>
      <c r="L121" s="706">
        <v>53.6</v>
      </c>
      <c r="M121" s="707">
        <v>98.1</v>
      </c>
      <c r="N121" s="708">
        <f aca="true" t="shared" si="94" ref="N121:N145">L121*2.5+M121*1.5</f>
        <v>281.15</v>
      </c>
      <c r="O121" s="705">
        <f t="shared" si="92"/>
        <v>0.02776707850631585</v>
      </c>
      <c r="P121" s="687"/>
      <c r="Q121" s="684"/>
      <c r="R121" s="685"/>
      <c r="S121" s="684"/>
      <c r="T121" s="685"/>
      <c r="U121" s="684"/>
      <c r="V121" s="709"/>
      <c r="W121" s="689"/>
      <c r="Y121" s="809"/>
      <c r="Z121" s="686"/>
      <c r="AA121" s="809"/>
      <c r="AB121" s="686"/>
      <c r="AC121" s="809"/>
      <c r="AD121" s="686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671"/>
      <c r="BF121" s="671"/>
      <c r="BG121" s="710"/>
    </row>
    <row r="122" spans="1:59" ht="11.25" customHeight="1">
      <c r="A122" s="639">
        <v>13000</v>
      </c>
      <c r="B122" s="640" t="s">
        <v>356</v>
      </c>
      <c r="C122" s="786"/>
      <c r="D122" s="686"/>
      <c r="E122" s="704"/>
      <c r="F122" s="688"/>
      <c r="G122" s="704">
        <v>26175.600000000002</v>
      </c>
      <c r="H122" s="688">
        <f t="shared" si="93"/>
        <v>0.007450068289304154</v>
      </c>
      <c r="I122" s="704">
        <v>52628.049999999996</v>
      </c>
      <c r="J122" s="689">
        <f t="shared" si="91"/>
        <v>0.01202183119342977</v>
      </c>
      <c r="K122" s="725"/>
      <c r="L122" s="706">
        <v>39.8</v>
      </c>
      <c r="M122" s="707">
        <v>81.2</v>
      </c>
      <c r="N122" s="708">
        <f t="shared" si="94"/>
        <v>221.3</v>
      </c>
      <c r="O122" s="705">
        <f t="shared" si="92"/>
        <v>0.02185614253404837</v>
      </c>
      <c r="P122" s="687"/>
      <c r="Q122" s="684"/>
      <c r="R122" s="685"/>
      <c r="S122" s="684"/>
      <c r="T122" s="685"/>
      <c r="U122" s="684"/>
      <c r="V122" s="709"/>
      <c r="W122" s="689"/>
      <c r="Y122" s="809"/>
      <c r="Z122" s="686"/>
      <c r="AA122" s="809"/>
      <c r="AB122" s="686"/>
      <c r="AC122" s="809"/>
      <c r="AD122" s="686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671"/>
      <c r="BF122" s="671"/>
      <c r="BG122" s="710"/>
    </row>
    <row r="123" spans="1:59" ht="11.25" customHeight="1">
      <c r="A123" s="639">
        <v>14000</v>
      </c>
      <c r="B123" s="640" t="s">
        <v>125</v>
      </c>
      <c r="C123" s="786"/>
      <c r="D123" s="686"/>
      <c r="E123" s="704"/>
      <c r="F123" s="688"/>
      <c r="G123" s="704">
        <v>377344.56</v>
      </c>
      <c r="H123" s="688">
        <f t="shared" si="93"/>
        <v>0.10739936202407695</v>
      </c>
      <c r="I123" s="704">
        <v>407301.75000000006</v>
      </c>
      <c r="J123" s="689">
        <f t="shared" si="91"/>
        <v>0.09303998311334992</v>
      </c>
      <c r="K123" s="725"/>
      <c r="L123" s="706">
        <v>195.7</v>
      </c>
      <c r="M123" s="707">
        <v>309.1</v>
      </c>
      <c r="N123" s="708">
        <f t="shared" si="94"/>
        <v>952.9000000000001</v>
      </c>
      <c r="O123" s="705">
        <f t="shared" si="92"/>
        <v>0.094110791779009</v>
      </c>
      <c r="P123" s="687"/>
      <c r="Q123" s="684"/>
      <c r="R123" s="685"/>
      <c r="S123" s="684"/>
      <c r="T123" s="685"/>
      <c r="U123" s="684"/>
      <c r="V123" s="709"/>
      <c r="W123" s="689"/>
      <c r="Y123" s="809"/>
      <c r="Z123" s="686"/>
      <c r="AA123" s="809"/>
      <c r="AB123" s="686"/>
      <c r="AC123" s="809"/>
      <c r="AD123" s="686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671"/>
      <c r="BF123" s="671"/>
      <c r="BG123" s="710"/>
    </row>
    <row r="124" spans="1:59" ht="11.25" customHeight="1">
      <c r="A124" s="639">
        <v>15000</v>
      </c>
      <c r="B124" s="640" t="s">
        <v>357</v>
      </c>
      <c r="C124" s="786"/>
      <c r="D124" s="686"/>
      <c r="E124" s="704"/>
      <c r="F124" s="688"/>
      <c r="G124" s="704">
        <v>230900.62</v>
      </c>
      <c r="H124" s="688">
        <f t="shared" si="93"/>
        <v>0.06571866115934949</v>
      </c>
      <c r="I124" s="704">
        <v>176489.46</v>
      </c>
      <c r="J124" s="689">
        <f t="shared" si="91"/>
        <v>0.040315506569967456</v>
      </c>
      <c r="K124" s="725"/>
      <c r="L124" s="706">
        <v>140.3</v>
      </c>
      <c r="M124" s="707">
        <v>229.2</v>
      </c>
      <c r="N124" s="708">
        <f t="shared" si="94"/>
        <v>694.55</v>
      </c>
      <c r="O124" s="705">
        <f t="shared" si="92"/>
        <v>0.06859549840498551</v>
      </c>
      <c r="P124" s="687"/>
      <c r="Q124" s="684"/>
      <c r="R124" s="685"/>
      <c r="S124" s="684"/>
      <c r="T124" s="685"/>
      <c r="U124" s="684"/>
      <c r="V124" s="709"/>
      <c r="W124" s="689"/>
      <c r="Y124" s="809"/>
      <c r="Z124" s="686"/>
      <c r="AA124" s="809"/>
      <c r="AB124" s="686"/>
      <c r="AC124" s="809"/>
      <c r="AD124" s="686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671"/>
      <c r="BF124" s="671"/>
      <c r="BG124" s="710"/>
    </row>
    <row r="125" spans="1:59" ht="11.25" customHeight="1">
      <c r="A125" s="639">
        <v>16000</v>
      </c>
      <c r="B125" s="640" t="s">
        <v>265</v>
      </c>
      <c r="C125" s="786"/>
      <c r="D125" s="686"/>
      <c r="E125" s="704"/>
      <c r="F125" s="688"/>
      <c r="G125" s="704">
        <v>30875.12</v>
      </c>
      <c r="H125" s="688">
        <f t="shared" si="93"/>
        <v>0.008787640109126837</v>
      </c>
      <c r="I125" s="704">
        <v>86365</v>
      </c>
      <c r="J125" s="689">
        <f t="shared" si="91"/>
        <v>0.019728366356354877</v>
      </c>
      <c r="K125" s="725"/>
      <c r="L125" s="706">
        <v>34.2</v>
      </c>
      <c r="M125" s="707">
        <v>39.1</v>
      </c>
      <c r="N125" s="708">
        <f t="shared" si="94"/>
        <v>144.15</v>
      </c>
      <c r="O125" s="705">
        <f t="shared" si="92"/>
        <v>0.01423661521140114</v>
      </c>
      <c r="P125" s="687"/>
      <c r="Q125" s="684"/>
      <c r="R125" s="685"/>
      <c r="S125" s="684"/>
      <c r="T125" s="685"/>
      <c r="U125" s="684"/>
      <c r="V125" s="709"/>
      <c r="W125" s="689"/>
      <c r="Y125" s="809"/>
      <c r="Z125" s="686"/>
      <c r="AA125" s="809"/>
      <c r="AB125" s="686"/>
      <c r="AC125" s="809"/>
      <c r="AD125" s="686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 s="671"/>
      <c r="BF125" s="671"/>
      <c r="BG125" s="710"/>
    </row>
    <row r="126" spans="1:59" ht="11.25" customHeight="1">
      <c r="A126" s="639">
        <v>17000</v>
      </c>
      <c r="B126" s="640" t="s">
        <v>128</v>
      </c>
      <c r="C126" s="786"/>
      <c r="D126" s="686"/>
      <c r="E126" s="704"/>
      <c r="F126" s="688"/>
      <c r="G126" s="704">
        <v>42807.72</v>
      </c>
      <c r="H126" s="688">
        <f t="shared" si="93"/>
        <v>0.012183882597129051</v>
      </c>
      <c r="I126" s="704">
        <v>57155.9</v>
      </c>
      <c r="J126" s="689">
        <f t="shared" si="91"/>
        <v>0.013056128462075883</v>
      </c>
      <c r="K126" s="725"/>
      <c r="L126" s="706">
        <v>32.5</v>
      </c>
      <c r="M126" s="707">
        <v>90.2</v>
      </c>
      <c r="N126" s="708">
        <f t="shared" si="94"/>
        <v>216.55</v>
      </c>
      <c r="O126" s="705">
        <f t="shared" si="92"/>
        <v>0.021387020631487456</v>
      </c>
      <c r="P126" s="687"/>
      <c r="Q126" s="684"/>
      <c r="R126" s="685"/>
      <c r="S126" s="684"/>
      <c r="T126" s="685"/>
      <c r="U126" s="684"/>
      <c r="V126" s="709"/>
      <c r="W126" s="689"/>
      <c r="Y126" s="809"/>
      <c r="Z126" s="686"/>
      <c r="AA126" s="809"/>
      <c r="AB126" s="686"/>
      <c r="AC126" s="809"/>
      <c r="AD126" s="68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 s="671"/>
      <c r="BF126" s="671"/>
      <c r="BG126" s="710"/>
    </row>
    <row r="127" spans="1:59" ht="11.25" customHeight="1">
      <c r="A127" s="639">
        <v>18000</v>
      </c>
      <c r="B127" s="640" t="s">
        <v>129</v>
      </c>
      <c r="C127" s="786"/>
      <c r="D127" s="686"/>
      <c r="E127" s="704"/>
      <c r="F127" s="688"/>
      <c r="G127" s="704">
        <v>8380</v>
      </c>
      <c r="H127" s="688">
        <f t="shared" si="93"/>
        <v>0.002385105681029998</v>
      </c>
      <c r="I127" s="704">
        <v>42273.729999999996</v>
      </c>
      <c r="J127" s="689">
        <f t="shared" si="91"/>
        <v>0.00965659274809969</v>
      </c>
      <c r="K127" s="725"/>
      <c r="L127" s="706">
        <v>31.9</v>
      </c>
      <c r="M127" s="707">
        <v>66.1</v>
      </c>
      <c r="N127" s="708">
        <f t="shared" si="94"/>
        <v>178.89999999999998</v>
      </c>
      <c r="O127" s="705">
        <f t="shared" si="92"/>
        <v>0.017668612288030964</v>
      </c>
      <c r="P127" s="687"/>
      <c r="Q127" s="684"/>
      <c r="R127" s="685"/>
      <c r="S127" s="684"/>
      <c r="T127" s="685"/>
      <c r="U127" s="684"/>
      <c r="V127" s="709"/>
      <c r="W127" s="689"/>
      <c r="Y127" s="809"/>
      <c r="Z127" s="686"/>
      <c r="AA127" s="809"/>
      <c r="AB127" s="686"/>
      <c r="AC127" s="809"/>
      <c r="AD127" s="686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 s="671"/>
      <c r="BF127" s="671"/>
      <c r="BG127" s="710"/>
    </row>
    <row r="128" spans="1:59" ht="11.25" customHeight="1">
      <c r="A128" s="639">
        <v>19000</v>
      </c>
      <c r="B128" s="640" t="s">
        <v>130</v>
      </c>
      <c r="C128" s="786"/>
      <c r="D128" s="686"/>
      <c r="E128" s="704"/>
      <c r="F128" s="688"/>
      <c r="G128" s="704">
        <v>9520</v>
      </c>
      <c r="H128" s="688">
        <f t="shared" si="93"/>
        <v>0.00270957113167131</v>
      </c>
      <c r="I128" s="704">
        <v>49606.67</v>
      </c>
      <c r="J128" s="689">
        <f t="shared" si="91"/>
        <v>0.011331657030959286</v>
      </c>
      <c r="K128" s="725"/>
      <c r="L128" s="706">
        <v>18.1</v>
      </c>
      <c r="M128" s="707">
        <v>41.4</v>
      </c>
      <c r="N128" s="708">
        <f t="shared" si="94"/>
        <v>107.35</v>
      </c>
      <c r="O128" s="705">
        <f t="shared" si="92"/>
        <v>0.010602154997876603</v>
      </c>
      <c r="P128" s="687"/>
      <c r="Q128" s="684"/>
      <c r="R128" s="685"/>
      <c r="S128" s="684"/>
      <c r="T128" s="685"/>
      <c r="U128" s="684"/>
      <c r="V128" s="709"/>
      <c r="W128" s="689"/>
      <c r="Y128" s="809"/>
      <c r="Z128" s="686"/>
      <c r="AA128" s="809"/>
      <c r="AB128" s="686"/>
      <c r="AC128" s="809"/>
      <c r="AD128" s="686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 s="671"/>
      <c r="BF128" s="671"/>
      <c r="BG128" s="710"/>
    </row>
    <row r="129" spans="1:59" ht="11.25" customHeight="1">
      <c r="A129" s="639">
        <v>21000</v>
      </c>
      <c r="B129" s="640" t="s">
        <v>131</v>
      </c>
      <c r="C129" s="786"/>
      <c r="D129" s="686"/>
      <c r="E129" s="704"/>
      <c r="F129" s="688"/>
      <c r="G129" s="704">
        <v>508877</v>
      </c>
      <c r="H129" s="688">
        <f t="shared" si="93"/>
        <v>0.14483596940877114</v>
      </c>
      <c r="I129" s="704">
        <v>574651.62</v>
      </c>
      <c r="J129" s="689">
        <f t="shared" si="91"/>
        <v>0.13126773214418835</v>
      </c>
      <c r="K129" s="725"/>
      <c r="L129" s="706">
        <v>185.2</v>
      </c>
      <c r="M129" s="707">
        <v>329.9</v>
      </c>
      <c r="N129" s="708">
        <f t="shared" si="94"/>
        <v>957.8499999999999</v>
      </c>
      <c r="O129" s="705">
        <f t="shared" si="92"/>
        <v>0.09459966618273036</v>
      </c>
      <c r="P129" s="687"/>
      <c r="Q129" s="684"/>
      <c r="R129" s="685"/>
      <c r="S129" s="684"/>
      <c r="T129" s="685"/>
      <c r="U129" s="684"/>
      <c r="V129" s="709"/>
      <c r="W129" s="689"/>
      <c r="Y129" s="809"/>
      <c r="Z129" s="686"/>
      <c r="AA129" s="809"/>
      <c r="AB129" s="686"/>
      <c r="AC129" s="809"/>
      <c r="AD129" s="686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 s="671"/>
      <c r="BF129" s="671"/>
      <c r="BG129" s="710"/>
    </row>
    <row r="130" spans="1:59" ht="11.25" customHeight="1">
      <c r="A130" s="639">
        <v>22000</v>
      </c>
      <c r="B130" s="640" t="s">
        <v>270</v>
      </c>
      <c r="C130" s="786"/>
      <c r="D130" s="686"/>
      <c r="E130" s="704"/>
      <c r="F130" s="688"/>
      <c r="G130" s="704">
        <v>165403.15</v>
      </c>
      <c r="H130" s="688">
        <f t="shared" si="93"/>
        <v>0.047076848773897</v>
      </c>
      <c r="I130" s="704">
        <v>111732.69</v>
      </c>
      <c r="J130" s="689">
        <f t="shared" si="91"/>
        <v>0.02552311054595066</v>
      </c>
      <c r="K130" s="725"/>
      <c r="L130" s="706">
        <v>59.9</v>
      </c>
      <c r="M130" s="707">
        <v>95.6</v>
      </c>
      <c r="N130" s="708">
        <f t="shared" si="94"/>
        <v>293.15</v>
      </c>
      <c r="O130" s="705">
        <f t="shared" si="92"/>
        <v>0.028952228575943418</v>
      </c>
      <c r="P130" s="687"/>
      <c r="Q130" s="684"/>
      <c r="R130" s="685"/>
      <c r="S130" s="684"/>
      <c r="T130" s="685"/>
      <c r="U130" s="684"/>
      <c r="V130" s="709"/>
      <c r="W130" s="689"/>
      <c r="Y130" s="809"/>
      <c r="Z130" s="686"/>
      <c r="AA130" s="809"/>
      <c r="AB130" s="686"/>
      <c r="AC130" s="809"/>
      <c r="AD130" s="686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 s="671"/>
      <c r="BF130" s="671"/>
      <c r="BG130" s="710"/>
    </row>
    <row r="131" spans="1:59" ht="11.25" customHeight="1">
      <c r="A131" s="639">
        <v>23000</v>
      </c>
      <c r="B131" s="640" t="s">
        <v>358</v>
      </c>
      <c r="C131" s="786"/>
      <c r="D131" s="686"/>
      <c r="E131" s="704"/>
      <c r="F131" s="688"/>
      <c r="G131" s="704">
        <v>138328.12</v>
      </c>
      <c r="H131" s="688">
        <f t="shared" si="93"/>
        <v>0.03937078578260134</v>
      </c>
      <c r="I131" s="704">
        <v>100704.55</v>
      </c>
      <c r="J131" s="689">
        <f t="shared" si="91"/>
        <v>0.02300395132463217</v>
      </c>
      <c r="K131" s="725"/>
      <c r="L131" s="706">
        <v>66.1</v>
      </c>
      <c r="M131" s="707">
        <v>137.4</v>
      </c>
      <c r="N131" s="708">
        <f t="shared" si="94"/>
        <v>371.35</v>
      </c>
      <c r="O131" s="705">
        <f t="shared" si="92"/>
        <v>0.03667545652968306</v>
      </c>
      <c r="P131" s="687"/>
      <c r="Q131" s="684"/>
      <c r="R131" s="685"/>
      <c r="S131" s="684"/>
      <c r="T131" s="685"/>
      <c r="U131" s="684"/>
      <c r="V131" s="709"/>
      <c r="W131" s="689"/>
      <c r="Y131" s="809"/>
      <c r="Z131" s="686"/>
      <c r="AA131" s="809"/>
      <c r="AB131" s="686"/>
      <c r="AC131" s="809"/>
      <c r="AD131" s="686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 s="671"/>
      <c r="BF131" s="671"/>
      <c r="BG131" s="710"/>
    </row>
    <row r="132" spans="1:59" ht="11.25" customHeight="1">
      <c r="A132" s="639">
        <v>24000</v>
      </c>
      <c r="B132" s="640" t="s">
        <v>134</v>
      </c>
      <c r="C132" s="786"/>
      <c r="D132" s="686"/>
      <c r="E132" s="704"/>
      <c r="F132" s="688"/>
      <c r="G132" s="704">
        <v>101165.4</v>
      </c>
      <c r="H132" s="688">
        <f t="shared" si="93"/>
        <v>0.028793576403779487</v>
      </c>
      <c r="I132" s="704">
        <v>145297.61</v>
      </c>
      <c r="J132" s="689">
        <f t="shared" si="91"/>
        <v>0.03319034887723929</v>
      </c>
      <c r="K132" s="725"/>
      <c r="L132" s="706">
        <v>51.9</v>
      </c>
      <c r="M132" s="707">
        <v>106.5</v>
      </c>
      <c r="N132" s="708">
        <f t="shared" si="94"/>
        <v>289.5</v>
      </c>
      <c r="O132" s="705">
        <f t="shared" si="92"/>
        <v>0.028591745429765034</v>
      </c>
      <c r="P132" s="687"/>
      <c r="Q132" s="684"/>
      <c r="R132" s="685"/>
      <c r="S132" s="684"/>
      <c r="T132" s="685"/>
      <c r="U132" s="684"/>
      <c r="V132" s="709"/>
      <c r="W132" s="689"/>
      <c r="Y132" s="809"/>
      <c r="Z132" s="686"/>
      <c r="AA132" s="809"/>
      <c r="AB132" s="686"/>
      <c r="AC132" s="809"/>
      <c r="AD132" s="686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 s="671"/>
      <c r="BF132" s="671"/>
      <c r="BG132" s="710"/>
    </row>
    <row r="133" spans="1:59" ht="11.25" customHeight="1">
      <c r="A133" s="639">
        <v>25000</v>
      </c>
      <c r="B133" s="640" t="s">
        <v>359</v>
      </c>
      <c r="C133" s="786"/>
      <c r="D133" s="686"/>
      <c r="E133" s="704"/>
      <c r="F133" s="688"/>
      <c r="G133" s="704">
        <v>51147.659999999996</v>
      </c>
      <c r="H133" s="688">
        <f t="shared" si="93"/>
        <v>0.014557586448375986</v>
      </c>
      <c r="I133" s="704">
        <v>67315.11</v>
      </c>
      <c r="J133" s="689">
        <f t="shared" si="91"/>
        <v>0.015376797908855759</v>
      </c>
      <c r="K133" s="725"/>
      <c r="L133" s="706">
        <v>53.7</v>
      </c>
      <c r="M133" s="707">
        <v>98.9</v>
      </c>
      <c r="N133" s="708">
        <f t="shared" si="94"/>
        <v>282.6</v>
      </c>
      <c r="O133" s="705">
        <f t="shared" si="92"/>
        <v>0.027910284139729187</v>
      </c>
      <c r="P133" s="687"/>
      <c r="Q133" s="684"/>
      <c r="R133" s="685"/>
      <c r="S133" s="684"/>
      <c r="T133" s="685"/>
      <c r="U133" s="684"/>
      <c r="V133" s="709"/>
      <c r="W133" s="689"/>
      <c r="Y133" s="809"/>
      <c r="Z133" s="686"/>
      <c r="AA133" s="809"/>
      <c r="AB133" s="686"/>
      <c r="AC133" s="809"/>
      <c r="AD133" s="686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 s="671"/>
      <c r="BF133" s="671"/>
      <c r="BG133" s="710"/>
    </row>
    <row r="134" spans="1:59" ht="11.25" customHeight="1">
      <c r="A134" s="639">
        <v>26000</v>
      </c>
      <c r="B134" s="640" t="s">
        <v>360</v>
      </c>
      <c r="C134" s="786"/>
      <c r="D134" s="686"/>
      <c r="E134" s="704"/>
      <c r="F134" s="688"/>
      <c r="G134" s="704">
        <v>296507.70999999996</v>
      </c>
      <c r="H134" s="688">
        <f t="shared" si="93"/>
        <v>0.08439167345945048</v>
      </c>
      <c r="I134" s="704">
        <v>379323.72</v>
      </c>
      <c r="J134" s="689">
        <f t="shared" si="91"/>
        <v>0.08664895867325162</v>
      </c>
      <c r="K134" s="725"/>
      <c r="L134" s="706">
        <v>122.2</v>
      </c>
      <c r="M134" s="707">
        <v>260.6</v>
      </c>
      <c r="N134" s="708">
        <f t="shared" si="94"/>
        <v>696.4000000000001</v>
      </c>
      <c r="O134" s="705">
        <f t="shared" si="92"/>
        <v>0.06877820904071977</v>
      </c>
      <c r="P134" s="687"/>
      <c r="Q134" s="684"/>
      <c r="R134" s="685"/>
      <c r="S134" s="684"/>
      <c r="T134" s="685"/>
      <c r="U134" s="684"/>
      <c r="V134" s="709"/>
      <c r="W134" s="689"/>
      <c r="Y134" s="809"/>
      <c r="Z134" s="686"/>
      <c r="AA134" s="809"/>
      <c r="AB134" s="686"/>
      <c r="AC134" s="809"/>
      <c r="AD134" s="686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 s="671"/>
      <c r="BF134" s="671"/>
      <c r="BG134" s="710"/>
    </row>
    <row r="135" spans="1:59" ht="11.25" customHeight="1">
      <c r="A135" s="639">
        <v>27000</v>
      </c>
      <c r="B135" s="640" t="s">
        <v>361</v>
      </c>
      <c r="C135" s="786"/>
      <c r="D135" s="686"/>
      <c r="E135" s="704"/>
      <c r="F135" s="688"/>
      <c r="G135" s="704">
        <v>191686.6</v>
      </c>
      <c r="H135" s="688">
        <f t="shared" si="93"/>
        <v>0.05455761320254472</v>
      </c>
      <c r="I135" s="704">
        <v>204262.56</v>
      </c>
      <c r="J135" s="689">
        <f t="shared" si="91"/>
        <v>0.04665971882784599</v>
      </c>
      <c r="K135" s="725"/>
      <c r="L135" s="706">
        <v>116.6</v>
      </c>
      <c r="M135" s="707">
        <v>187.4</v>
      </c>
      <c r="N135" s="708">
        <f t="shared" si="94"/>
        <v>572.6</v>
      </c>
      <c r="O135" s="705">
        <f t="shared" si="92"/>
        <v>0.05655141082239537</v>
      </c>
      <c r="P135" s="687"/>
      <c r="Q135" s="684"/>
      <c r="R135" s="685"/>
      <c r="S135" s="684"/>
      <c r="T135" s="685"/>
      <c r="U135" s="684"/>
      <c r="V135" s="709"/>
      <c r="W135" s="689"/>
      <c r="Y135" s="809"/>
      <c r="Z135" s="686"/>
      <c r="AA135" s="809"/>
      <c r="AB135" s="686"/>
      <c r="AC135" s="809"/>
      <c r="AD135" s="686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 s="671"/>
      <c r="BF135" s="671"/>
      <c r="BG135" s="710"/>
    </row>
    <row r="136" spans="1:59" ht="11.25" customHeight="1">
      <c r="A136" s="639">
        <v>28000</v>
      </c>
      <c r="B136" s="640" t="s">
        <v>362</v>
      </c>
      <c r="C136" s="786"/>
      <c r="D136" s="686"/>
      <c r="E136" s="704"/>
      <c r="F136" s="688"/>
      <c r="G136" s="704">
        <v>24326.87</v>
      </c>
      <c r="H136" s="688">
        <f t="shared" si="93"/>
        <v>0.006923884944949668</v>
      </c>
      <c r="I136" s="704">
        <v>46608.16</v>
      </c>
      <c r="J136" s="689">
        <f t="shared" si="91"/>
        <v>0.010646707065079664</v>
      </c>
      <c r="K136" s="725"/>
      <c r="L136" s="706">
        <v>44.6</v>
      </c>
      <c r="M136" s="707">
        <v>82.9</v>
      </c>
      <c r="N136" s="708">
        <f t="shared" si="94"/>
        <v>235.85000000000002</v>
      </c>
      <c r="O136" s="705">
        <f t="shared" si="92"/>
        <v>0.023293136993471793</v>
      </c>
      <c r="P136" s="687"/>
      <c r="Q136" s="684"/>
      <c r="R136" s="685"/>
      <c r="S136" s="684"/>
      <c r="T136" s="685"/>
      <c r="U136" s="684"/>
      <c r="V136" s="709"/>
      <c r="W136" s="689"/>
      <c r="Y136" s="809"/>
      <c r="Z136" s="686"/>
      <c r="AA136" s="809"/>
      <c r="AB136" s="686"/>
      <c r="AC136" s="809"/>
      <c r="AD136" s="68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 s="671"/>
      <c r="BF136" s="671"/>
      <c r="BG136" s="710"/>
    </row>
    <row r="137" spans="1:59" ht="11.25" customHeight="1">
      <c r="A137" s="639">
        <v>31000</v>
      </c>
      <c r="B137" s="640" t="s">
        <v>139</v>
      </c>
      <c r="C137" s="786"/>
      <c r="D137" s="686"/>
      <c r="E137" s="704"/>
      <c r="F137" s="688"/>
      <c r="G137" s="704">
        <v>56181.92</v>
      </c>
      <c r="H137" s="688">
        <f t="shared" si="93"/>
        <v>0.01599043157078435</v>
      </c>
      <c r="I137" s="704">
        <v>184742.71000000002</v>
      </c>
      <c r="J137" s="689">
        <f t="shared" si="91"/>
        <v>0.04220079736636167</v>
      </c>
      <c r="K137" s="725"/>
      <c r="L137" s="706">
        <v>74.7</v>
      </c>
      <c r="M137" s="707">
        <v>131.8</v>
      </c>
      <c r="N137" s="708">
        <f t="shared" si="94"/>
        <v>384.45000000000005</v>
      </c>
      <c r="O137" s="705">
        <f t="shared" si="92"/>
        <v>0.03796924535569316</v>
      </c>
      <c r="P137" s="687"/>
      <c r="Q137" s="684"/>
      <c r="R137" s="685"/>
      <c r="S137" s="684"/>
      <c r="T137" s="685"/>
      <c r="U137" s="684"/>
      <c r="V137" s="709"/>
      <c r="W137" s="689"/>
      <c r="Y137" s="809"/>
      <c r="Z137" s="686"/>
      <c r="AA137" s="809"/>
      <c r="AB137" s="686"/>
      <c r="AC137" s="809"/>
      <c r="AD137" s="686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 s="671"/>
      <c r="BF137" s="671"/>
      <c r="BG137" s="710"/>
    </row>
    <row r="138" spans="1:59" ht="11.25" customHeight="1">
      <c r="A138" s="639">
        <v>41000</v>
      </c>
      <c r="B138" s="640" t="s">
        <v>363</v>
      </c>
      <c r="C138" s="786"/>
      <c r="D138" s="686"/>
      <c r="E138" s="704"/>
      <c r="F138" s="688"/>
      <c r="G138" s="704">
        <v>85973.42000000001</v>
      </c>
      <c r="H138" s="688">
        <f t="shared" si="93"/>
        <v>0.024469653038135804</v>
      </c>
      <c r="I138" s="704">
        <v>138672.25</v>
      </c>
      <c r="J138" s="689">
        <f t="shared" si="91"/>
        <v>0.031676917170845045</v>
      </c>
      <c r="K138" s="725"/>
      <c r="L138" s="706">
        <v>61.6</v>
      </c>
      <c r="M138" s="707">
        <v>102.1</v>
      </c>
      <c r="N138" s="708">
        <f t="shared" si="94"/>
        <v>307.15</v>
      </c>
      <c r="O138" s="705">
        <f t="shared" si="92"/>
        <v>0.030334903657175578</v>
      </c>
      <c r="P138" s="687"/>
      <c r="Q138" s="684"/>
      <c r="R138" s="685"/>
      <c r="S138" s="684"/>
      <c r="T138" s="685"/>
      <c r="U138" s="684"/>
      <c r="V138" s="709"/>
      <c r="W138" s="689"/>
      <c r="Y138" s="809"/>
      <c r="Z138" s="686"/>
      <c r="AA138" s="809"/>
      <c r="AB138" s="686"/>
      <c r="AC138" s="809"/>
      <c r="AD138" s="686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 s="671"/>
      <c r="BF138" s="671"/>
      <c r="BG138" s="710"/>
    </row>
    <row r="139" spans="1:59" ht="11.25" customHeight="1">
      <c r="A139" s="639">
        <v>43000</v>
      </c>
      <c r="B139" s="640" t="s">
        <v>141</v>
      </c>
      <c r="C139" s="786"/>
      <c r="D139" s="686"/>
      <c r="E139" s="704"/>
      <c r="F139" s="688"/>
      <c r="G139" s="704">
        <v>114498.38</v>
      </c>
      <c r="H139" s="688">
        <f t="shared" si="93"/>
        <v>0.032588393389824756</v>
      </c>
      <c r="I139" s="704">
        <v>133610.21000000002</v>
      </c>
      <c r="J139" s="689">
        <f t="shared" si="91"/>
        <v>0.030520594822318187</v>
      </c>
      <c r="K139" s="725"/>
      <c r="L139" s="706">
        <v>55.5</v>
      </c>
      <c r="M139" s="707">
        <v>103</v>
      </c>
      <c r="N139" s="708">
        <f t="shared" si="94"/>
        <v>293.25</v>
      </c>
      <c r="O139" s="705">
        <f t="shared" si="92"/>
        <v>0.02896210482652365</v>
      </c>
      <c r="P139" s="687"/>
      <c r="Q139" s="684"/>
      <c r="R139" s="685"/>
      <c r="S139" s="684"/>
      <c r="T139" s="685"/>
      <c r="U139" s="684"/>
      <c r="V139" s="709"/>
      <c r="W139" s="689"/>
      <c r="Y139" s="809"/>
      <c r="Z139" s="686"/>
      <c r="AA139" s="809"/>
      <c r="AB139" s="686"/>
      <c r="AC139" s="809"/>
      <c r="AD139" s="686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 s="671"/>
      <c r="BF139" s="671"/>
      <c r="BG139" s="710"/>
    </row>
    <row r="140" spans="1:59" ht="11.25" customHeight="1">
      <c r="A140" s="639">
        <v>51000</v>
      </c>
      <c r="B140" s="640" t="s">
        <v>364</v>
      </c>
      <c r="C140" s="786"/>
      <c r="D140" s="686"/>
      <c r="E140" s="704"/>
      <c r="F140" s="688"/>
      <c r="G140" s="704">
        <v>23102.72</v>
      </c>
      <c r="H140" s="688">
        <f t="shared" si="93"/>
        <v>0.006575468820912333</v>
      </c>
      <c r="I140" s="704">
        <v>12593.29</v>
      </c>
      <c r="J140" s="689">
        <f t="shared" si="91"/>
        <v>0.0028766866062851885</v>
      </c>
      <c r="K140" s="725"/>
      <c r="L140" s="706">
        <v>63.2</v>
      </c>
      <c r="M140" s="707">
        <v>63.9</v>
      </c>
      <c r="N140" s="708">
        <f t="shared" si="94"/>
        <v>253.85</v>
      </c>
      <c r="O140" s="705">
        <f t="shared" si="92"/>
        <v>0.025070862097913142</v>
      </c>
      <c r="P140" s="687"/>
      <c r="Q140" s="684"/>
      <c r="R140" s="685"/>
      <c r="S140" s="684"/>
      <c r="T140" s="685"/>
      <c r="U140" s="684"/>
      <c r="V140" s="709"/>
      <c r="W140" s="689"/>
      <c r="Y140" s="809"/>
      <c r="Z140" s="686"/>
      <c r="AA140" s="809"/>
      <c r="AB140" s="686"/>
      <c r="AC140" s="809"/>
      <c r="AD140" s="686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 s="671"/>
      <c r="BF140" s="671"/>
      <c r="BG140" s="710"/>
    </row>
    <row r="141" spans="1:59" ht="11.25" customHeight="1">
      <c r="A141" s="639">
        <v>52000</v>
      </c>
      <c r="B141" s="640" t="s">
        <v>365</v>
      </c>
      <c r="C141" s="786"/>
      <c r="D141" s="686"/>
      <c r="E141" s="704"/>
      <c r="F141" s="688"/>
      <c r="G141" s="704">
        <v>7180.799999999999</v>
      </c>
      <c r="H141" s="688">
        <f t="shared" si="93"/>
        <v>0.002043790796460645</v>
      </c>
      <c r="I141" s="704">
        <v>3353.9300000000003</v>
      </c>
      <c r="J141" s="689">
        <f t="shared" si="91"/>
        <v>0.0007661385951898259</v>
      </c>
      <c r="K141" s="725"/>
      <c r="L141" s="706">
        <v>13.3</v>
      </c>
      <c r="M141" s="707">
        <v>7.3</v>
      </c>
      <c r="N141" s="708">
        <f>L141*2.5+M141*1.5</f>
        <v>44.2</v>
      </c>
      <c r="O141" s="705">
        <f t="shared" si="92"/>
        <v>0.004365302756461536</v>
      </c>
      <c r="P141" s="687"/>
      <c r="Q141" s="684"/>
      <c r="R141" s="685"/>
      <c r="S141" s="684"/>
      <c r="T141" s="685"/>
      <c r="U141" s="684"/>
      <c r="V141" s="709"/>
      <c r="W141" s="689"/>
      <c r="Y141" s="809"/>
      <c r="Z141" s="686"/>
      <c r="AA141" s="809"/>
      <c r="AB141" s="686"/>
      <c r="AC141" s="809"/>
      <c r="AD141" s="686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 s="671"/>
      <c r="BF141" s="671"/>
      <c r="BG141" s="710"/>
    </row>
    <row r="142" spans="1:59" ht="11.25" customHeight="1">
      <c r="A142" s="639">
        <v>53000</v>
      </c>
      <c r="B142" s="640" t="s">
        <v>293</v>
      </c>
      <c r="C142" s="786"/>
      <c r="D142" s="686"/>
      <c r="E142" s="704"/>
      <c r="F142" s="688"/>
      <c r="G142" s="704">
        <v>3244</v>
      </c>
      <c r="H142" s="688">
        <f t="shared" si="93"/>
        <v>0.00092330344024598</v>
      </c>
      <c r="I142" s="704">
        <v>10029.529999999999</v>
      </c>
      <c r="J142" s="689">
        <f t="shared" si="91"/>
        <v>0.0022910466302559127</v>
      </c>
      <c r="K142" s="725"/>
      <c r="L142" s="706">
        <v>6.6</v>
      </c>
      <c r="M142" s="707">
        <v>10</v>
      </c>
      <c r="N142" s="708">
        <f t="shared" si="94"/>
        <v>31.5</v>
      </c>
      <c r="O142" s="705">
        <f t="shared" si="92"/>
        <v>0.003111018932772361</v>
      </c>
      <c r="P142" s="687"/>
      <c r="Q142" s="684"/>
      <c r="R142" s="685"/>
      <c r="S142" s="684"/>
      <c r="T142" s="685"/>
      <c r="U142" s="684"/>
      <c r="V142" s="709"/>
      <c r="W142" s="689"/>
      <c r="Y142" s="809"/>
      <c r="Z142" s="686"/>
      <c r="AA142" s="809"/>
      <c r="AB142" s="686"/>
      <c r="AC142" s="809"/>
      <c r="AD142" s="686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 s="671"/>
      <c r="BF142" s="671"/>
      <c r="BG142" s="710"/>
    </row>
    <row r="143" spans="1:59" ht="11.25" customHeight="1">
      <c r="A143" s="639">
        <v>54000</v>
      </c>
      <c r="B143" s="640" t="s">
        <v>145</v>
      </c>
      <c r="C143" s="786"/>
      <c r="D143" s="686"/>
      <c r="E143" s="704"/>
      <c r="F143" s="688"/>
      <c r="G143" s="704">
        <v>1216.86</v>
      </c>
      <c r="H143" s="688">
        <f t="shared" si="93"/>
        <v>0.0003463412528661292</v>
      </c>
      <c r="I143" s="704">
        <v>7796.380000000001</v>
      </c>
      <c r="J143" s="689">
        <f t="shared" si="91"/>
        <v>0.0017809279325346847</v>
      </c>
      <c r="K143" s="725"/>
      <c r="L143" s="706">
        <v>21.3</v>
      </c>
      <c r="M143" s="707">
        <v>34.8</v>
      </c>
      <c r="N143" s="708">
        <f t="shared" si="94"/>
        <v>105.44999999999999</v>
      </c>
      <c r="O143" s="705">
        <f t="shared" si="92"/>
        <v>0.010414506236852238</v>
      </c>
      <c r="P143" s="687"/>
      <c r="Q143" s="684"/>
      <c r="R143" s="685"/>
      <c r="S143" s="684"/>
      <c r="T143" s="685"/>
      <c r="U143" s="684"/>
      <c r="V143" s="709"/>
      <c r="W143" s="689"/>
      <c r="Y143" s="809"/>
      <c r="Z143" s="686"/>
      <c r="AA143" s="809"/>
      <c r="AB143" s="686"/>
      <c r="AC143" s="809"/>
      <c r="AD143" s="686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 s="671"/>
      <c r="BF143" s="671"/>
      <c r="BG143" s="710"/>
    </row>
    <row r="144" spans="1:58" ht="11.25" customHeight="1">
      <c r="A144" s="639">
        <v>55000</v>
      </c>
      <c r="B144" s="640" t="s">
        <v>280</v>
      </c>
      <c r="C144" s="786"/>
      <c r="D144" s="686"/>
      <c r="E144" s="704"/>
      <c r="F144" s="688"/>
      <c r="G144" s="704">
        <v>272.85</v>
      </c>
      <c r="H144" s="688">
        <f t="shared" si="93"/>
        <v>7.765824404165095E-05</v>
      </c>
      <c r="I144" s="704">
        <v>12430.410000000002</v>
      </c>
      <c r="J144" s="689">
        <f t="shared" si="91"/>
        <v>0.0028394799101452814</v>
      </c>
      <c r="K144" s="725"/>
      <c r="L144" s="706">
        <v>4</v>
      </c>
      <c r="M144" s="707">
        <v>7.9</v>
      </c>
      <c r="N144" s="708">
        <f t="shared" si="94"/>
        <v>21.85</v>
      </c>
      <c r="O144" s="705">
        <f t="shared" si="92"/>
        <v>0.0021579607517801937</v>
      </c>
      <c r="P144" s="687"/>
      <c r="Q144" s="684"/>
      <c r="R144" s="685"/>
      <c r="S144" s="684"/>
      <c r="T144" s="685"/>
      <c r="U144" s="684"/>
      <c r="V144" s="709"/>
      <c r="W144" s="689"/>
      <c r="Y144" s="809"/>
      <c r="Z144" s="686"/>
      <c r="AA144" s="809"/>
      <c r="AB144" s="686"/>
      <c r="AC144" s="809"/>
      <c r="AD144" s="686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 s="671"/>
      <c r="BF144" s="671"/>
    </row>
    <row r="145" spans="1:58" ht="11.25" customHeight="1" thickBot="1">
      <c r="A145" s="655">
        <v>56000</v>
      </c>
      <c r="B145" s="656" t="s">
        <v>147</v>
      </c>
      <c r="C145" s="803"/>
      <c r="D145" s="804"/>
      <c r="E145" s="805"/>
      <c r="F145" s="806"/>
      <c r="G145" s="805">
        <v>0</v>
      </c>
      <c r="H145" s="806">
        <f t="shared" si="93"/>
        <v>0</v>
      </c>
      <c r="I145" s="805">
        <v>6467.3099999999995</v>
      </c>
      <c r="J145" s="807">
        <f t="shared" si="91"/>
        <v>0.0014773283276803965</v>
      </c>
      <c r="K145" s="725"/>
      <c r="L145" s="811">
        <v>3.3</v>
      </c>
      <c r="M145" s="812">
        <v>3.5</v>
      </c>
      <c r="N145" s="813">
        <f t="shared" si="94"/>
        <v>13.5</v>
      </c>
      <c r="O145" s="814">
        <f t="shared" si="92"/>
        <v>0.001333293828331012</v>
      </c>
      <c r="P145" s="815"/>
      <c r="Q145" s="727"/>
      <c r="R145" s="728"/>
      <c r="S145" s="727"/>
      <c r="T145" s="728"/>
      <c r="U145" s="727"/>
      <c r="V145" s="816"/>
      <c r="W145" s="807"/>
      <c r="Y145" s="809"/>
      <c r="Z145" s="686"/>
      <c r="AA145" s="809"/>
      <c r="AB145" s="686"/>
      <c r="AC145" s="809"/>
      <c r="AD145" s="686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 s="671"/>
      <c r="BF145" s="671"/>
    </row>
    <row r="146" spans="3:59" ht="9" customHeight="1">
      <c r="C146" s="673"/>
      <c r="D146" s="673"/>
      <c r="G146" s="729"/>
      <c r="H146" s="723"/>
      <c r="I146" s="729"/>
      <c r="J146" s="723"/>
      <c r="K146" s="723"/>
      <c r="L146" s="723"/>
      <c r="M146" s="723"/>
      <c r="N146" s="723"/>
      <c r="O146" s="723"/>
      <c r="P146" s="599"/>
      <c r="Q146" s="599"/>
      <c r="R146" s="599"/>
      <c r="S146" s="599"/>
      <c r="T146" s="599"/>
      <c r="U146" s="599"/>
      <c r="V146" s="599"/>
      <c r="W146" s="599"/>
      <c r="Z146" s="724"/>
      <c r="AA146" s="724"/>
      <c r="AB146" s="724"/>
      <c r="AD146" s="724"/>
      <c r="AE146" s="724"/>
      <c r="AF146" s="671"/>
      <c r="AH146" s="724"/>
      <c r="AI146" s="724"/>
      <c r="AJ146" s="724"/>
      <c r="AM146" s="724"/>
      <c r="AN146" s="671"/>
      <c r="AT146" s="671"/>
      <c r="AU146" s="671"/>
      <c r="AV146" s="671"/>
      <c r="AZ146" s="724"/>
      <c r="BB146" s="724"/>
      <c r="BC146" s="724"/>
      <c r="BD146" s="671"/>
      <c r="BE146" s="671"/>
      <c r="BF146" s="671"/>
      <c r="BG146" s="730"/>
    </row>
    <row r="147" ht="14.25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spans="7:58" ht="14.25">
      <c r="G174" s="731"/>
      <c r="H174" s="597"/>
      <c r="L174" s="723"/>
      <c r="M174" s="723"/>
      <c r="N174" s="723"/>
      <c r="O174" s="724"/>
      <c r="T174" s="599"/>
      <c r="U174" s="599"/>
      <c r="V174" s="599"/>
      <c r="W174" s="599"/>
      <c r="AG174" s="671"/>
      <c r="AH174" s="671"/>
      <c r="AI174" s="671"/>
      <c r="AJ174" s="671"/>
      <c r="AK174" s="671"/>
      <c r="AL174" s="671"/>
      <c r="AM174" s="671"/>
      <c r="AN174" s="671"/>
      <c r="BE174" s="671"/>
      <c r="BF174" s="671"/>
    </row>
  </sheetData>
  <sheetProtection/>
  <mergeCells count="39">
    <mergeCell ref="A6:B6"/>
    <mergeCell ref="A7:B7"/>
    <mergeCell ref="AW5:AX5"/>
    <mergeCell ref="AY5:AZ5"/>
    <mergeCell ref="BA5:BB5"/>
    <mergeCell ref="AG5:AH5"/>
    <mergeCell ref="AI5:AJ5"/>
    <mergeCell ref="A3:B5"/>
    <mergeCell ref="C3:J3"/>
    <mergeCell ref="P5:Q5"/>
    <mergeCell ref="R5:S5"/>
    <mergeCell ref="T5:U5"/>
    <mergeCell ref="Y5:Z5"/>
    <mergeCell ref="AA5:AB5"/>
    <mergeCell ref="AC5:AD5"/>
    <mergeCell ref="AO4:AT4"/>
    <mergeCell ref="AU4:AV5"/>
    <mergeCell ref="AW4:BB4"/>
    <mergeCell ref="BC4:BD5"/>
    <mergeCell ref="AK5:AL5"/>
    <mergeCell ref="AO5:AP5"/>
    <mergeCell ref="AQ5:AR5"/>
    <mergeCell ref="AS5:AT5"/>
    <mergeCell ref="C4:D5"/>
    <mergeCell ref="E4:F5"/>
    <mergeCell ref="G4:H5"/>
    <mergeCell ref="I4:J5"/>
    <mergeCell ref="L4:N4"/>
    <mergeCell ref="O4:O5"/>
    <mergeCell ref="L3:W3"/>
    <mergeCell ref="Y3:BD3"/>
    <mergeCell ref="BF3:BF5"/>
    <mergeCell ref="BG3:BG5"/>
    <mergeCell ref="P4:U4"/>
    <mergeCell ref="V4:W5"/>
    <mergeCell ref="Y4:AD4"/>
    <mergeCell ref="AE4:AF5"/>
    <mergeCell ref="AG4:AL4"/>
    <mergeCell ref="AM4:AN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32" r:id="rId3"/>
  <ignoredErrors>
    <ignoredError sqref="V64:V89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F54"/>
  <sheetViews>
    <sheetView zoomScale="87" zoomScaleNormal="87" zoomScalePageLayoutView="0" workbookViewId="0" topLeftCell="A1">
      <selection activeCell="B25" sqref="B25"/>
    </sheetView>
  </sheetViews>
  <sheetFormatPr defaultColWidth="9.140625" defaultRowHeight="15"/>
  <cols>
    <col min="1" max="1" width="9.28125" style="233" bestFit="1" customWidth="1"/>
    <col min="2" max="2" width="54.28125" style="233" customWidth="1"/>
    <col min="3" max="3" width="11.57421875" style="233" customWidth="1"/>
    <col min="4" max="4" width="13.28125" style="233" customWidth="1"/>
    <col min="5" max="5" width="15.28125" style="233" customWidth="1"/>
    <col min="6" max="6" width="16.00390625" style="233" customWidth="1"/>
    <col min="7" max="7" width="48.421875" style="233" customWidth="1"/>
    <col min="8" max="16384" width="9.140625" style="233" customWidth="1"/>
  </cols>
  <sheetData>
    <row r="1" spans="1:5" ht="18.75">
      <c r="A1" s="1105" t="s">
        <v>74</v>
      </c>
      <c r="B1" s="1105"/>
      <c r="C1" s="1105"/>
      <c r="D1" s="1105"/>
      <c r="E1" s="1105"/>
    </row>
    <row r="2" spans="1:5" ht="15.75" customHeight="1">
      <c r="A2" s="234"/>
      <c r="B2" s="234"/>
      <c r="C2" s="234"/>
      <c r="D2" s="234"/>
      <c r="E2" s="234"/>
    </row>
    <row r="3" spans="1:5" ht="14.25">
      <c r="A3" s="235" t="s">
        <v>75</v>
      </c>
      <c r="B3" s="236"/>
      <c r="C3"/>
      <c r="D3"/>
      <c r="E3"/>
    </row>
    <row r="4" spans="1:5" ht="15" thickBot="1">
      <c r="A4" s="237"/>
      <c r="B4" s="237"/>
      <c r="C4" s="237"/>
      <c r="D4" s="238"/>
      <c r="E4" s="237"/>
    </row>
    <row r="5" spans="1:6" ht="27" thickBot="1">
      <c r="A5" s="239" t="s">
        <v>76</v>
      </c>
      <c r="B5" s="240" t="s">
        <v>77</v>
      </c>
      <c r="C5" s="240" t="s">
        <v>78</v>
      </c>
      <c r="D5" s="241" t="s">
        <v>79</v>
      </c>
      <c r="E5" s="242" t="s">
        <v>446</v>
      </c>
      <c r="F5" s="243"/>
    </row>
    <row r="6" spans="1:5" ht="12.75" customHeight="1">
      <c r="A6" s="244">
        <v>11000</v>
      </c>
      <c r="B6" s="245" t="s">
        <v>80</v>
      </c>
      <c r="C6" s="244">
        <v>3161</v>
      </c>
      <c r="D6" s="246">
        <f aca="true" t="shared" si="0" ref="D6:D31">ROUND(C6*$D$35/$C$32,0)</f>
        <v>284490</v>
      </c>
      <c r="E6" s="247">
        <f>ROUNDDOWN(D6/4,0)</f>
        <v>71122</v>
      </c>
    </row>
    <row r="7" spans="1:5" ht="12.75" customHeight="1">
      <c r="A7" s="244">
        <v>12000</v>
      </c>
      <c r="B7" s="245" t="s">
        <v>81</v>
      </c>
      <c r="C7" s="244">
        <v>366</v>
      </c>
      <c r="D7" s="248">
        <f t="shared" si="0"/>
        <v>32940</v>
      </c>
      <c r="E7" s="249">
        <f aca="true" t="shared" si="1" ref="E7:E31">ROUNDDOWN(D7/4,0)</f>
        <v>8235</v>
      </c>
    </row>
    <row r="8" spans="1:5" ht="12.75" customHeight="1">
      <c r="A8" s="244">
        <v>13000</v>
      </c>
      <c r="B8" s="245" t="s">
        <v>82</v>
      </c>
      <c r="C8" s="244">
        <v>61</v>
      </c>
      <c r="D8" s="248">
        <f t="shared" si="0"/>
        <v>5490</v>
      </c>
      <c r="E8" s="249">
        <f t="shared" si="1"/>
        <v>1372</v>
      </c>
    </row>
    <row r="9" spans="1:5" ht="12.75" customHeight="1">
      <c r="A9" s="244">
        <v>14000</v>
      </c>
      <c r="B9" s="245" t="s">
        <v>83</v>
      </c>
      <c r="C9" s="244">
        <v>1742</v>
      </c>
      <c r="D9" s="248">
        <f t="shared" si="0"/>
        <v>156780</v>
      </c>
      <c r="E9" s="249">
        <f t="shared" si="1"/>
        <v>39195</v>
      </c>
    </row>
    <row r="10" spans="1:5" ht="12.75" customHeight="1">
      <c r="A10" s="244">
        <v>15000</v>
      </c>
      <c r="B10" s="245" t="s">
        <v>84</v>
      </c>
      <c r="C10" s="244">
        <v>754</v>
      </c>
      <c r="D10" s="248">
        <f t="shared" si="0"/>
        <v>67860</v>
      </c>
      <c r="E10" s="249">
        <f t="shared" si="1"/>
        <v>16965</v>
      </c>
    </row>
    <row r="11" spans="1:5" ht="12.75" customHeight="1">
      <c r="A11" s="244">
        <v>16000</v>
      </c>
      <c r="B11" s="245" t="s">
        <v>85</v>
      </c>
      <c r="C11" s="244">
        <v>162</v>
      </c>
      <c r="D11" s="248">
        <f t="shared" si="0"/>
        <v>14580</v>
      </c>
      <c r="E11" s="249">
        <f t="shared" si="1"/>
        <v>3645</v>
      </c>
    </row>
    <row r="12" spans="1:5" ht="12.75" customHeight="1">
      <c r="A12" s="244">
        <v>17000</v>
      </c>
      <c r="B12" s="245" t="s">
        <v>86</v>
      </c>
      <c r="C12" s="244">
        <v>165</v>
      </c>
      <c r="D12" s="248">
        <f t="shared" si="0"/>
        <v>14850</v>
      </c>
      <c r="E12" s="249">
        <f t="shared" si="1"/>
        <v>3712</v>
      </c>
    </row>
    <row r="13" spans="1:5" ht="12.75" customHeight="1">
      <c r="A13" s="244">
        <v>18000</v>
      </c>
      <c r="B13" s="245" t="s">
        <v>87</v>
      </c>
      <c r="C13" s="244">
        <v>67</v>
      </c>
      <c r="D13" s="248">
        <f t="shared" si="0"/>
        <v>6030</v>
      </c>
      <c r="E13" s="249">
        <f t="shared" si="1"/>
        <v>1507</v>
      </c>
    </row>
    <row r="14" spans="1:5" ht="12.75" customHeight="1">
      <c r="A14" s="244">
        <v>19000</v>
      </c>
      <c r="B14" s="245" t="s">
        <v>88</v>
      </c>
      <c r="C14" s="244">
        <v>60</v>
      </c>
      <c r="D14" s="248">
        <f t="shared" si="0"/>
        <v>5400</v>
      </c>
      <c r="E14" s="249">
        <f t="shared" si="1"/>
        <v>1350</v>
      </c>
    </row>
    <row r="15" spans="1:5" ht="12.75" customHeight="1">
      <c r="A15" s="244">
        <v>21000</v>
      </c>
      <c r="B15" s="245" t="s">
        <v>89</v>
      </c>
      <c r="C15" s="244">
        <v>1134</v>
      </c>
      <c r="D15" s="248">
        <f t="shared" si="0"/>
        <v>102060</v>
      </c>
      <c r="E15" s="249">
        <f t="shared" si="1"/>
        <v>25515</v>
      </c>
    </row>
    <row r="16" spans="1:5" ht="12.75" customHeight="1">
      <c r="A16" s="244">
        <v>22000</v>
      </c>
      <c r="B16" s="245" t="s">
        <v>90</v>
      </c>
      <c r="C16" s="244">
        <v>482</v>
      </c>
      <c r="D16" s="248">
        <f t="shared" si="0"/>
        <v>43380</v>
      </c>
      <c r="E16" s="249">
        <f t="shared" si="1"/>
        <v>10845</v>
      </c>
    </row>
    <row r="17" spans="1:5" ht="12.75" customHeight="1">
      <c r="A17" s="244">
        <v>23000</v>
      </c>
      <c r="B17" s="245" t="s">
        <v>91</v>
      </c>
      <c r="C17" s="244">
        <v>385</v>
      </c>
      <c r="D17" s="248">
        <f t="shared" si="0"/>
        <v>34650</v>
      </c>
      <c r="E17" s="249">
        <f t="shared" si="1"/>
        <v>8662</v>
      </c>
    </row>
    <row r="18" spans="1:5" ht="12.75" customHeight="1">
      <c r="A18" s="244">
        <v>24000</v>
      </c>
      <c r="B18" s="245" t="s">
        <v>92</v>
      </c>
      <c r="C18" s="244">
        <v>170</v>
      </c>
      <c r="D18" s="248">
        <f t="shared" si="0"/>
        <v>15300</v>
      </c>
      <c r="E18" s="249">
        <f t="shared" si="1"/>
        <v>3825</v>
      </c>
    </row>
    <row r="19" spans="1:5" ht="12.75" customHeight="1">
      <c r="A19" s="244">
        <v>25000</v>
      </c>
      <c r="B19" s="245" t="s">
        <v>93</v>
      </c>
      <c r="C19" s="244">
        <v>222</v>
      </c>
      <c r="D19" s="248">
        <f t="shared" si="0"/>
        <v>19980</v>
      </c>
      <c r="E19" s="249">
        <f t="shared" si="1"/>
        <v>4995</v>
      </c>
    </row>
    <row r="20" spans="1:5" ht="12.75" customHeight="1">
      <c r="A20" s="244">
        <v>26000</v>
      </c>
      <c r="B20" s="245" t="s">
        <v>94</v>
      </c>
      <c r="C20" s="244">
        <v>1107</v>
      </c>
      <c r="D20" s="248">
        <f t="shared" si="0"/>
        <v>99630</v>
      </c>
      <c r="E20" s="249">
        <f t="shared" si="1"/>
        <v>24907</v>
      </c>
    </row>
    <row r="21" spans="1:5" ht="12.75" customHeight="1">
      <c r="A21" s="244">
        <v>27000</v>
      </c>
      <c r="B21" s="245" t="s">
        <v>95</v>
      </c>
      <c r="C21" s="244">
        <v>551</v>
      </c>
      <c r="D21" s="248">
        <f t="shared" si="0"/>
        <v>49590</v>
      </c>
      <c r="E21" s="249">
        <f t="shared" si="1"/>
        <v>12397</v>
      </c>
    </row>
    <row r="22" spans="1:5" ht="12.75" customHeight="1">
      <c r="A22" s="244">
        <v>28000</v>
      </c>
      <c r="B22" s="245" t="s">
        <v>96</v>
      </c>
      <c r="C22" s="244">
        <v>204</v>
      </c>
      <c r="D22" s="248">
        <f t="shared" si="0"/>
        <v>18360</v>
      </c>
      <c r="E22" s="249">
        <f t="shared" si="1"/>
        <v>4590</v>
      </c>
    </row>
    <row r="23" spans="1:5" ht="12.75" customHeight="1">
      <c r="A23" s="244">
        <v>31000</v>
      </c>
      <c r="B23" s="245" t="s">
        <v>97</v>
      </c>
      <c r="C23" s="244">
        <v>311</v>
      </c>
      <c r="D23" s="248">
        <f t="shared" si="0"/>
        <v>27990</v>
      </c>
      <c r="E23" s="249">
        <f t="shared" si="1"/>
        <v>6997</v>
      </c>
    </row>
    <row r="24" spans="1:5" ht="12.75" customHeight="1">
      <c r="A24" s="244">
        <v>41000</v>
      </c>
      <c r="B24" s="245" t="s">
        <v>98</v>
      </c>
      <c r="C24" s="244">
        <v>490</v>
      </c>
      <c r="D24" s="248">
        <f t="shared" si="0"/>
        <v>44100</v>
      </c>
      <c r="E24" s="249">
        <f>ROUNDDOWN(D24/4,0)</f>
        <v>11025</v>
      </c>
    </row>
    <row r="25" spans="1:5" ht="12.75" customHeight="1">
      <c r="A25" s="244">
        <v>43000</v>
      </c>
      <c r="B25" s="245" t="s">
        <v>99</v>
      </c>
      <c r="C25" s="244">
        <v>343</v>
      </c>
      <c r="D25" s="248">
        <f>ROUND(C25*$D$35/$C$32,0)</f>
        <v>30870</v>
      </c>
      <c r="E25" s="249">
        <f t="shared" si="1"/>
        <v>7717</v>
      </c>
    </row>
    <row r="26" spans="1:5" ht="12.75" customHeight="1">
      <c r="A26" s="244">
        <v>51000</v>
      </c>
      <c r="B26" s="245" t="s">
        <v>100</v>
      </c>
      <c r="C26" s="244">
        <v>46</v>
      </c>
      <c r="D26" s="248">
        <f t="shared" si="0"/>
        <v>4140</v>
      </c>
      <c r="E26" s="249">
        <f t="shared" si="1"/>
        <v>1035</v>
      </c>
    </row>
    <row r="27" spans="1:5" ht="12.75" customHeight="1">
      <c r="A27" s="244">
        <v>52000</v>
      </c>
      <c r="B27" s="245" t="s">
        <v>101</v>
      </c>
      <c r="C27" s="244">
        <v>14</v>
      </c>
      <c r="D27" s="248">
        <f t="shared" si="0"/>
        <v>1260</v>
      </c>
      <c r="E27" s="249">
        <f t="shared" si="1"/>
        <v>315</v>
      </c>
    </row>
    <row r="28" spans="1:5" ht="12.75" customHeight="1">
      <c r="A28" s="244">
        <v>53000</v>
      </c>
      <c r="B28" s="245" t="s">
        <v>102</v>
      </c>
      <c r="C28" s="244">
        <v>20</v>
      </c>
      <c r="D28" s="248">
        <f t="shared" si="0"/>
        <v>1800</v>
      </c>
      <c r="E28" s="249">
        <f t="shared" si="1"/>
        <v>450</v>
      </c>
    </row>
    <row r="29" spans="1:5" ht="12.75" customHeight="1">
      <c r="A29" s="244">
        <v>54000</v>
      </c>
      <c r="B29" s="245" t="s">
        <v>103</v>
      </c>
      <c r="C29" s="244">
        <v>28</v>
      </c>
      <c r="D29" s="248">
        <f t="shared" si="0"/>
        <v>2520</v>
      </c>
      <c r="E29" s="249">
        <f t="shared" si="1"/>
        <v>630</v>
      </c>
    </row>
    <row r="30" spans="1:5" ht="12.75" customHeight="1">
      <c r="A30" s="244">
        <v>55000</v>
      </c>
      <c r="B30" s="245" t="s">
        <v>104</v>
      </c>
      <c r="C30" s="244">
        <v>0</v>
      </c>
      <c r="D30" s="248">
        <f t="shared" si="0"/>
        <v>0</v>
      </c>
      <c r="E30" s="249">
        <f t="shared" si="1"/>
        <v>0</v>
      </c>
    </row>
    <row r="31" spans="1:5" ht="12.75" customHeight="1" thickBot="1">
      <c r="A31" s="250">
        <v>56000</v>
      </c>
      <c r="B31" s="251" t="s">
        <v>105</v>
      </c>
      <c r="C31" s="250">
        <v>0</v>
      </c>
      <c r="D31" s="252">
        <f t="shared" si="0"/>
        <v>0</v>
      </c>
      <c r="E31" s="253">
        <f t="shared" si="1"/>
        <v>0</v>
      </c>
    </row>
    <row r="32" spans="1:5" ht="15" thickBot="1">
      <c r="A32" s="254" t="s">
        <v>106</v>
      </c>
      <c r="B32" s="255"/>
      <c r="C32" s="256">
        <f>SUM(C6:C31)</f>
        <v>12045</v>
      </c>
      <c r="D32" s="256">
        <f>SUM(D6:D31)</f>
        <v>1084050</v>
      </c>
      <c r="E32" s="257">
        <f>SUM(E6:E31)</f>
        <v>271008</v>
      </c>
    </row>
    <row r="33" spans="1:5" ht="15" thickBot="1">
      <c r="A33" s="237"/>
      <c r="B33" s="237"/>
      <c r="C33" s="237"/>
      <c r="D33" s="237"/>
      <c r="E33" s="237"/>
    </row>
    <row r="34" spans="1:6" ht="15" thickBot="1">
      <c r="A34" s="237"/>
      <c r="B34" s="258" t="s">
        <v>107</v>
      </c>
      <c r="C34" s="259"/>
      <c r="D34" s="257">
        <v>1084050</v>
      </c>
      <c r="E34" s="257">
        <f>F40*G38/1000</f>
        <v>0</v>
      </c>
      <c r="F34" s="260"/>
    </row>
    <row r="35" spans="1:5" ht="15" thickBot="1">
      <c r="A35" s="261"/>
      <c r="B35" s="258" t="s">
        <v>108</v>
      </c>
      <c r="C35" s="259"/>
      <c r="D35" s="262">
        <v>1084050</v>
      </c>
      <c r="E35" s="261"/>
    </row>
    <row r="36" spans="1:5" ht="24" customHeight="1" thickBot="1">
      <c r="A36" s="237"/>
      <c r="B36" s="237"/>
      <c r="C36" s="237"/>
      <c r="D36" s="237"/>
      <c r="E36" s="237"/>
    </row>
    <row r="37" spans="1:6" ht="15" thickBot="1">
      <c r="A37" s="1106" t="s">
        <v>109</v>
      </c>
      <c r="B37" s="1107"/>
      <c r="C37" s="263">
        <v>2010</v>
      </c>
      <c r="D37" s="263">
        <v>2011</v>
      </c>
      <c r="E37" s="263">
        <v>2012</v>
      </c>
      <c r="F37" s="264">
        <v>2013</v>
      </c>
    </row>
    <row r="38" spans="1:6" ht="12.75" customHeight="1">
      <c r="A38" s="265" t="s">
        <v>110</v>
      </c>
      <c r="B38" s="266"/>
      <c r="C38" s="267">
        <v>93380</v>
      </c>
      <c r="D38" s="267">
        <v>89428.80162836061</v>
      </c>
      <c r="E38" s="267">
        <v>83041.32025274361</v>
      </c>
      <c r="F38" s="268">
        <f>D32*1000/F40</f>
        <v>90000</v>
      </c>
    </row>
    <row r="39" spans="1:6" ht="12.75" customHeight="1">
      <c r="A39" s="269" t="s">
        <v>111</v>
      </c>
      <c r="B39" s="270"/>
      <c r="C39" s="271"/>
      <c r="D39" s="271">
        <f>D38/C38-1</f>
        <v>-0.04231311171170904</v>
      </c>
      <c r="E39" s="271">
        <v>-0.07142532673267243</v>
      </c>
      <c r="F39" s="272">
        <f>F38/E38-1</f>
        <v>0.08379779760337436</v>
      </c>
    </row>
    <row r="40" spans="1:6" ht="12.75" customHeight="1">
      <c r="A40" s="273" t="s">
        <v>112</v>
      </c>
      <c r="B40" s="274"/>
      <c r="C40" s="275">
        <v>10851</v>
      </c>
      <c r="D40" s="275">
        <v>11791</v>
      </c>
      <c r="E40" s="275">
        <v>12028</v>
      </c>
      <c r="F40" s="276">
        <f>C32</f>
        <v>12045</v>
      </c>
    </row>
    <row r="41" spans="1:6" ht="12.75" customHeight="1" thickBot="1">
      <c r="A41" s="277" t="s">
        <v>113</v>
      </c>
      <c r="B41" s="278"/>
      <c r="C41" s="279"/>
      <c r="D41" s="279">
        <f>D40/C40-1</f>
        <v>0.08662796055663069</v>
      </c>
      <c r="E41" s="279">
        <v>0.020100076329403693</v>
      </c>
      <c r="F41" s="280">
        <f>F40/E40-1</f>
        <v>0.0014133688061190863</v>
      </c>
    </row>
    <row r="42" spans="1:5" ht="14.25">
      <c r="A42" s="237"/>
      <c r="B42" s="237"/>
      <c r="C42" s="237"/>
      <c r="D42" s="237"/>
      <c r="E42" s="237"/>
    </row>
    <row r="43" spans="1:5" ht="14.25">
      <c r="A43" s="237"/>
      <c r="B43" s="237"/>
      <c r="C43" s="237"/>
      <c r="D43" s="237"/>
      <c r="E43" s="237"/>
    </row>
    <row r="44" spans="1:5" ht="14.25">
      <c r="A44" s="237"/>
      <c r="B44" s="237"/>
      <c r="C44" s="237"/>
      <c r="D44" s="237"/>
      <c r="E44" s="237"/>
    </row>
    <row r="45" spans="1:5" ht="14.25">
      <c r="A45" s="237"/>
      <c r="B45" s="237"/>
      <c r="C45" s="237"/>
      <c r="D45" s="237"/>
      <c r="E45" s="237"/>
    </row>
    <row r="46" spans="1:5" ht="14.25">
      <c r="A46" s="237"/>
      <c r="B46" s="237"/>
      <c r="C46" s="237"/>
      <c r="D46" s="237"/>
      <c r="E46" s="237"/>
    </row>
    <row r="47" spans="1:5" ht="14.25">
      <c r="A47" s="237"/>
      <c r="B47" s="237"/>
      <c r="C47" s="237"/>
      <c r="D47" s="237"/>
      <c r="E47" s="237"/>
    </row>
    <row r="48" spans="1:5" ht="14.25">
      <c r="A48" s="237"/>
      <c r="B48" s="237"/>
      <c r="C48" s="237"/>
      <c r="D48" s="237"/>
      <c r="E48" s="237"/>
    </row>
    <row r="49" spans="1:5" ht="14.25">
      <c r="A49" s="237"/>
      <c r="B49" s="237"/>
      <c r="C49" s="237"/>
      <c r="D49" s="237"/>
      <c r="E49" s="237"/>
    </row>
    <row r="50" spans="1:5" ht="14.25">
      <c r="A50" s="237"/>
      <c r="B50" s="237"/>
      <c r="C50" s="237"/>
      <c r="D50" s="237"/>
      <c r="E50" s="237"/>
    </row>
    <row r="51" spans="1:5" ht="14.25">
      <c r="A51" s="237"/>
      <c r="B51" s="237"/>
      <c r="C51" s="237"/>
      <c r="D51" s="237"/>
      <c r="E51" s="237"/>
    </row>
    <row r="52" spans="1:5" ht="14.25">
      <c r="A52" s="236"/>
      <c r="B52" s="236"/>
      <c r="C52" s="236"/>
      <c r="D52" s="236"/>
      <c r="E52" s="236"/>
    </row>
    <row r="53" spans="1:5" ht="14.25">
      <c r="A53" s="236"/>
      <c r="B53" s="236"/>
      <c r="C53" s="236"/>
      <c r="D53" s="236"/>
      <c r="E53" s="236"/>
    </row>
    <row r="54" spans="1:5" ht="14.25">
      <c r="A54" s="236"/>
      <c r="B54" s="236"/>
      <c r="C54" s="236"/>
      <c r="D54" s="236"/>
      <c r="E54" s="236"/>
    </row>
  </sheetData>
  <sheetProtection/>
  <mergeCells count="2">
    <mergeCell ref="A1:E1"/>
    <mergeCell ref="A37:B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F4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421875" style="0" customWidth="1"/>
    <col min="2" max="2" width="44.421875" style="820" customWidth="1"/>
    <col min="3" max="3" width="10.140625" style="0" customWidth="1"/>
    <col min="4" max="4" width="10.421875" style="0" customWidth="1"/>
    <col min="5" max="5" width="10.8515625" style="0" customWidth="1"/>
    <col min="6" max="6" width="10.57421875" style="0" customWidth="1"/>
  </cols>
  <sheetData>
    <row r="1" spans="1:6" s="281" customFormat="1" ht="41.25" customHeight="1">
      <c r="A1" s="1108" t="s">
        <v>436</v>
      </c>
      <c r="B1" s="1108"/>
      <c r="C1" s="1108"/>
      <c r="D1" s="1108"/>
      <c r="E1" s="1108"/>
      <c r="F1" s="857"/>
    </row>
    <row r="2" s="281" customFormat="1" ht="13.5"/>
    <row r="3" spans="1:5" s="289" customFormat="1" ht="12.75">
      <c r="A3" s="858" t="s">
        <v>437</v>
      </c>
      <c r="B3" s="859"/>
      <c r="C3" s="859"/>
      <c r="D3" s="860"/>
      <c r="E3" s="861">
        <v>22000</v>
      </c>
    </row>
    <row r="4" spans="1:5" s="289" customFormat="1" ht="12.75">
      <c r="A4" s="858" t="s">
        <v>438</v>
      </c>
      <c r="B4" s="859"/>
      <c r="C4" s="859"/>
      <c r="D4" s="860"/>
      <c r="E4" s="862">
        <f>E3*1000/D35</f>
        <v>30.614885502833072</v>
      </c>
    </row>
    <row r="5" spans="1:5" s="289" customFormat="1" ht="12.75">
      <c r="A5" s="863"/>
      <c r="B5" s="863"/>
      <c r="C5" s="863"/>
      <c r="D5" s="863"/>
      <c r="E5" s="864"/>
    </row>
    <row r="6" s="289" customFormat="1" ht="13.5" thickBot="1"/>
    <row r="7" spans="1:5" s="289" customFormat="1" ht="18.75" customHeight="1">
      <c r="A7" s="1109" t="s">
        <v>152</v>
      </c>
      <c r="B7" s="1111" t="s">
        <v>393</v>
      </c>
      <c r="C7" s="1113" t="s">
        <v>394</v>
      </c>
      <c r="D7" s="1114"/>
      <c r="E7" s="1115" t="s">
        <v>439</v>
      </c>
    </row>
    <row r="8" spans="1:5" s="289" customFormat="1" ht="50.25" customHeight="1" thickBot="1">
      <c r="A8" s="1110"/>
      <c r="B8" s="1112"/>
      <c r="C8" s="865" t="s">
        <v>395</v>
      </c>
      <c r="D8" s="866" t="s">
        <v>440</v>
      </c>
      <c r="E8" s="1116"/>
    </row>
    <row r="9" spans="1:5" s="289" customFormat="1" ht="12.75">
      <c r="A9" s="867" t="s">
        <v>396</v>
      </c>
      <c r="B9" s="868" t="s">
        <v>80</v>
      </c>
      <c r="C9" s="869">
        <v>5401</v>
      </c>
      <c r="D9" s="870">
        <v>131764.36</v>
      </c>
      <c r="E9" s="871">
        <f aca="true" t="shared" si="0" ref="E9:E28">ROUND(E$3/D$35*D9,0)</f>
        <v>4034</v>
      </c>
    </row>
    <row r="10" spans="1:5" s="289" customFormat="1" ht="12.75">
      <c r="A10" s="872" t="s">
        <v>397</v>
      </c>
      <c r="B10" s="873" t="s">
        <v>81</v>
      </c>
      <c r="C10" s="874">
        <v>1168</v>
      </c>
      <c r="D10" s="875">
        <v>31502.64</v>
      </c>
      <c r="E10" s="871">
        <f t="shared" si="0"/>
        <v>964</v>
      </c>
    </row>
    <row r="11" spans="1:5" s="289" customFormat="1" ht="12.75">
      <c r="A11" s="872" t="s">
        <v>398</v>
      </c>
      <c r="B11" s="873" t="s">
        <v>399</v>
      </c>
      <c r="C11" s="874">
        <v>2288</v>
      </c>
      <c r="D11" s="875">
        <v>37250.72</v>
      </c>
      <c r="E11" s="871">
        <f t="shared" si="0"/>
        <v>1140</v>
      </c>
    </row>
    <row r="12" spans="1:5" s="289" customFormat="1" ht="12.75">
      <c r="A12" s="872" t="s">
        <v>400</v>
      </c>
      <c r="B12" s="873" t="s">
        <v>83</v>
      </c>
      <c r="C12" s="874">
        <v>3680</v>
      </c>
      <c r="D12" s="875">
        <v>45080.4</v>
      </c>
      <c r="E12" s="871">
        <f t="shared" si="0"/>
        <v>1380</v>
      </c>
    </row>
    <row r="13" spans="1:5" s="289" customFormat="1" ht="12.75">
      <c r="A13" s="872" t="s">
        <v>401</v>
      </c>
      <c r="B13" s="873" t="s">
        <v>84</v>
      </c>
      <c r="C13" s="874">
        <v>2017</v>
      </c>
      <c r="D13" s="875">
        <v>27169.28</v>
      </c>
      <c r="E13" s="871">
        <f t="shared" si="0"/>
        <v>832</v>
      </c>
    </row>
    <row r="14" spans="1:5" s="289" customFormat="1" ht="12.75">
      <c r="A14" s="872" t="s">
        <v>402</v>
      </c>
      <c r="B14" s="873" t="s">
        <v>85</v>
      </c>
      <c r="C14" s="874">
        <v>738</v>
      </c>
      <c r="D14" s="875">
        <v>6186.88</v>
      </c>
      <c r="E14" s="871">
        <f t="shared" si="0"/>
        <v>189</v>
      </c>
    </row>
    <row r="15" spans="1:5" s="289" customFormat="1" ht="12.75">
      <c r="A15" s="872" t="s">
        <v>403</v>
      </c>
      <c r="B15" s="873" t="s">
        <v>86</v>
      </c>
      <c r="C15" s="874">
        <v>612</v>
      </c>
      <c r="D15" s="875">
        <v>22412</v>
      </c>
      <c r="E15" s="871">
        <f t="shared" si="0"/>
        <v>686</v>
      </c>
    </row>
    <row r="16" spans="1:5" s="289" customFormat="1" ht="12.75">
      <c r="A16" s="872" t="s">
        <v>404</v>
      </c>
      <c r="B16" s="873" t="s">
        <v>87</v>
      </c>
      <c r="C16" s="874">
        <v>384</v>
      </c>
      <c r="D16" s="875">
        <v>9852.96</v>
      </c>
      <c r="E16" s="871">
        <f t="shared" si="0"/>
        <v>302</v>
      </c>
    </row>
    <row r="17" spans="1:5" s="289" customFormat="1" ht="12.75">
      <c r="A17" s="872" t="s">
        <v>405</v>
      </c>
      <c r="B17" s="873" t="s">
        <v>88</v>
      </c>
      <c r="C17" s="874">
        <v>1549</v>
      </c>
      <c r="D17" s="875">
        <v>37952.64</v>
      </c>
      <c r="E17" s="871">
        <f t="shared" si="0"/>
        <v>1162</v>
      </c>
    </row>
    <row r="18" spans="1:5" s="289" customFormat="1" ht="12.75">
      <c r="A18" s="872" t="s">
        <v>406</v>
      </c>
      <c r="B18" s="873" t="s">
        <v>89</v>
      </c>
      <c r="C18" s="874">
        <v>1096</v>
      </c>
      <c r="D18" s="875">
        <v>30205.44</v>
      </c>
      <c r="E18" s="871">
        <f t="shared" si="0"/>
        <v>925</v>
      </c>
    </row>
    <row r="19" spans="1:5" s="289" customFormat="1" ht="12.75">
      <c r="A19" s="872" t="s">
        <v>407</v>
      </c>
      <c r="B19" s="873" t="s">
        <v>432</v>
      </c>
      <c r="C19" s="874">
        <v>433</v>
      </c>
      <c r="D19" s="875">
        <v>16142.88</v>
      </c>
      <c r="E19" s="871">
        <f t="shared" si="0"/>
        <v>494</v>
      </c>
    </row>
    <row r="20" spans="1:5" s="289" customFormat="1" ht="12.75">
      <c r="A20" s="872" t="s">
        <v>408</v>
      </c>
      <c r="B20" s="873" t="s">
        <v>91</v>
      </c>
      <c r="C20" s="874">
        <v>2786</v>
      </c>
      <c r="D20" s="875">
        <v>38634.32</v>
      </c>
      <c r="E20" s="871">
        <f t="shared" si="0"/>
        <v>1183</v>
      </c>
    </row>
    <row r="21" spans="1:5" s="289" customFormat="1" ht="12.75">
      <c r="A21" s="872" t="s">
        <v>409</v>
      </c>
      <c r="B21" s="873" t="s">
        <v>92</v>
      </c>
      <c r="C21" s="874">
        <v>1168</v>
      </c>
      <c r="D21" s="875">
        <v>32759.04</v>
      </c>
      <c r="E21" s="871">
        <f t="shared" si="0"/>
        <v>1003</v>
      </c>
    </row>
    <row r="22" spans="1:5" s="289" customFormat="1" ht="12.75">
      <c r="A22" s="872" t="s">
        <v>410</v>
      </c>
      <c r="B22" s="873" t="s">
        <v>93</v>
      </c>
      <c r="C22" s="874">
        <v>656</v>
      </c>
      <c r="D22" s="875">
        <v>11557.76</v>
      </c>
      <c r="E22" s="871">
        <f t="shared" si="0"/>
        <v>354</v>
      </c>
    </row>
    <row r="23" spans="1:5" s="289" customFormat="1" ht="12.75">
      <c r="A23" s="872" t="s">
        <v>411</v>
      </c>
      <c r="B23" s="873" t="s">
        <v>94</v>
      </c>
      <c r="C23" s="874">
        <v>2088</v>
      </c>
      <c r="D23" s="875">
        <v>39389.76</v>
      </c>
      <c r="E23" s="871">
        <f t="shared" si="0"/>
        <v>1206</v>
      </c>
    </row>
    <row r="24" spans="1:5" s="289" customFormat="1" ht="12.75">
      <c r="A24" s="872" t="s">
        <v>412</v>
      </c>
      <c r="B24" s="873" t="s">
        <v>433</v>
      </c>
      <c r="C24" s="874">
        <v>1068</v>
      </c>
      <c r="D24" s="875">
        <v>19313.28</v>
      </c>
      <c r="E24" s="871">
        <f t="shared" si="0"/>
        <v>591</v>
      </c>
    </row>
    <row r="25" spans="1:5" s="289" customFormat="1" ht="12.75">
      <c r="A25" s="872" t="s">
        <v>413</v>
      </c>
      <c r="B25" s="873" t="s">
        <v>96</v>
      </c>
      <c r="C25" s="874">
        <v>1230</v>
      </c>
      <c r="D25" s="875">
        <v>20145.12</v>
      </c>
      <c r="E25" s="871">
        <f t="shared" si="0"/>
        <v>617</v>
      </c>
    </row>
    <row r="26" spans="1:5" s="289" customFormat="1" ht="12.75">
      <c r="A26" s="872" t="s">
        <v>414</v>
      </c>
      <c r="B26" s="873" t="s">
        <v>97</v>
      </c>
      <c r="C26" s="874">
        <v>2432</v>
      </c>
      <c r="D26" s="875">
        <v>56224.48</v>
      </c>
      <c r="E26" s="871">
        <f t="shared" si="0"/>
        <v>1721</v>
      </c>
    </row>
    <row r="27" spans="1:5" s="289" customFormat="1" ht="12.75">
      <c r="A27" s="872" t="s">
        <v>415</v>
      </c>
      <c r="B27" s="873" t="s">
        <v>98</v>
      </c>
      <c r="C27" s="874">
        <v>2634</v>
      </c>
      <c r="D27" s="875">
        <v>42174.24</v>
      </c>
      <c r="E27" s="871">
        <f t="shared" si="0"/>
        <v>1291</v>
      </c>
    </row>
    <row r="28" spans="1:5" s="289" customFormat="1" ht="12.75">
      <c r="A28" s="872" t="s">
        <v>416</v>
      </c>
      <c r="B28" s="873" t="s">
        <v>99</v>
      </c>
      <c r="C28" s="874">
        <v>3036</v>
      </c>
      <c r="D28" s="875">
        <v>45635.52</v>
      </c>
      <c r="E28" s="871">
        <f t="shared" si="0"/>
        <v>1397</v>
      </c>
    </row>
    <row r="29" spans="1:5" s="289" customFormat="1" ht="12.75">
      <c r="A29" s="872" t="s">
        <v>417</v>
      </c>
      <c r="B29" s="873" t="s">
        <v>100</v>
      </c>
      <c r="C29" s="876" t="s">
        <v>418</v>
      </c>
      <c r="D29" s="877" t="s">
        <v>418</v>
      </c>
      <c r="E29" s="878" t="s">
        <v>431</v>
      </c>
    </row>
    <row r="30" spans="1:5" s="289" customFormat="1" ht="12.75">
      <c r="A30" s="872" t="s">
        <v>419</v>
      </c>
      <c r="B30" s="873" t="s">
        <v>101</v>
      </c>
      <c r="C30" s="876" t="s">
        <v>418</v>
      </c>
      <c r="D30" s="877" t="s">
        <v>418</v>
      </c>
      <c r="E30" s="878" t="s">
        <v>431</v>
      </c>
    </row>
    <row r="31" spans="1:5" s="289" customFormat="1" ht="12.75">
      <c r="A31" s="872" t="s">
        <v>420</v>
      </c>
      <c r="B31" s="873" t="s">
        <v>102</v>
      </c>
      <c r="C31" s="876" t="s">
        <v>418</v>
      </c>
      <c r="D31" s="877" t="s">
        <v>418</v>
      </c>
      <c r="E31" s="878" t="s">
        <v>431</v>
      </c>
    </row>
    <row r="32" spans="1:5" s="289" customFormat="1" ht="12.75">
      <c r="A32" s="872" t="s">
        <v>421</v>
      </c>
      <c r="B32" s="873" t="s">
        <v>422</v>
      </c>
      <c r="C32" s="876">
        <v>79</v>
      </c>
      <c r="D32" s="877">
        <v>1422</v>
      </c>
      <c r="E32" s="871">
        <f>ROUND(E$3/D$35*D32,0)</f>
        <v>44</v>
      </c>
    </row>
    <row r="33" spans="1:5" s="289" customFormat="1" ht="12.75">
      <c r="A33" s="872" t="s">
        <v>423</v>
      </c>
      <c r="B33" s="873" t="s">
        <v>104</v>
      </c>
      <c r="C33" s="874">
        <v>640</v>
      </c>
      <c r="D33" s="875">
        <v>15828.96</v>
      </c>
      <c r="E33" s="871">
        <f>ROUND(E$3/D$35*D33,0)</f>
        <v>485</v>
      </c>
    </row>
    <row r="34" spans="1:5" s="289" customFormat="1" ht="13.5" thickBot="1">
      <c r="A34" s="879" t="s">
        <v>424</v>
      </c>
      <c r="B34" s="880" t="s">
        <v>435</v>
      </c>
      <c r="C34" s="881" t="s">
        <v>418</v>
      </c>
      <c r="D34" s="882" t="s">
        <v>418</v>
      </c>
      <c r="E34" s="878" t="s">
        <v>431</v>
      </c>
    </row>
    <row r="35" spans="1:5" s="289" customFormat="1" ht="13.5" thickBot="1">
      <c r="A35" s="883" t="s">
        <v>106</v>
      </c>
      <c r="B35" s="884"/>
      <c r="C35" s="885">
        <f>SUM(C9:C34)</f>
        <v>37183</v>
      </c>
      <c r="D35" s="886">
        <f>SUM(D9:D34)</f>
        <v>718604.68</v>
      </c>
      <c r="E35" s="887">
        <f>SUM(E9:E34)</f>
        <v>22000</v>
      </c>
    </row>
    <row r="36" s="888" customFormat="1" ht="13.5">
      <c r="B36" s="889"/>
    </row>
    <row r="37" spans="1:6" ht="15">
      <c r="A37" s="817"/>
      <c r="B37" s="818"/>
      <c r="C37" s="817"/>
      <c r="D37" s="817"/>
      <c r="E37" s="817"/>
      <c r="F37" s="817"/>
    </row>
    <row r="38" spans="1:6" ht="15">
      <c r="A38" s="817"/>
      <c r="B38" s="818"/>
      <c r="C38" s="817"/>
      <c r="D38" s="819"/>
      <c r="E38" s="818"/>
      <c r="F38" s="817"/>
    </row>
    <row r="39" spans="1:6" ht="15">
      <c r="A39" s="817"/>
      <c r="B39" s="818"/>
      <c r="C39" s="817"/>
      <c r="D39" s="817"/>
      <c r="E39" s="817"/>
      <c r="F39" s="817"/>
    </row>
    <row r="40" spans="1:6" ht="15">
      <c r="A40" s="817"/>
      <c r="B40" s="818"/>
      <c r="C40" s="817"/>
      <c r="D40" s="817"/>
      <c r="E40" s="817"/>
      <c r="F40" s="817"/>
    </row>
    <row r="41" spans="1:6" ht="15">
      <c r="A41" s="817"/>
      <c r="B41" s="818"/>
      <c r="C41" s="817"/>
      <c r="D41" s="817"/>
      <c r="E41" s="817"/>
      <c r="F41" s="817"/>
    </row>
    <row r="42" spans="1:6" ht="15">
      <c r="A42" s="817"/>
      <c r="B42" s="818"/>
      <c r="C42" s="817"/>
      <c r="D42" s="817"/>
      <c r="E42" s="817"/>
      <c r="F42" s="817"/>
    </row>
    <row r="43" spans="1:6" ht="15">
      <c r="A43" s="817"/>
      <c r="B43" s="818"/>
      <c r="C43" s="817"/>
      <c r="D43" s="817"/>
      <c r="E43" s="817"/>
      <c r="F43" s="817"/>
    </row>
    <row r="44" spans="1:6" ht="15">
      <c r="A44" s="817"/>
      <c r="B44" s="818"/>
      <c r="C44" s="817"/>
      <c r="D44" s="817"/>
      <c r="E44" s="817"/>
      <c r="F44" s="817"/>
    </row>
    <row r="45" spans="1:6" ht="15">
      <c r="A45" s="817"/>
      <c r="B45" s="818"/>
      <c r="C45" s="817"/>
      <c r="D45" s="819"/>
      <c r="E45" s="817"/>
      <c r="F45" s="817"/>
    </row>
    <row r="46" spans="1:6" ht="15">
      <c r="A46" s="817"/>
      <c r="B46" s="818"/>
      <c r="C46" s="817"/>
      <c r="D46" s="817"/>
      <c r="E46" s="817"/>
      <c r="F46" s="817"/>
    </row>
  </sheetData>
  <sheetProtection/>
  <mergeCells count="5">
    <mergeCell ref="A1:E1"/>
    <mergeCell ref="A7:A8"/>
    <mergeCell ref="B7:B8"/>
    <mergeCell ref="C7:D7"/>
    <mergeCell ref="E7:E8"/>
  </mergeCells>
  <printOptions horizontalCentered="1"/>
  <pageMargins left="0.11811023622047245" right="0.11811023622047245" top="0.7874015748031497" bottom="0.7874015748031497" header="0.31496062992125984" footer="0.31496062992125984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71"/>
  <sheetViews>
    <sheetView zoomScalePageLayoutView="0" workbookViewId="0" topLeftCell="A1">
      <selection activeCell="B28" sqref="B28"/>
    </sheetView>
  </sheetViews>
  <sheetFormatPr defaultColWidth="5.57421875" defaultRowHeight="15"/>
  <cols>
    <col min="1" max="1" width="8.57421875" style="856" customWidth="1"/>
    <col min="2" max="2" width="41.57421875" style="856" customWidth="1"/>
    <col min="3" max="3" width="12.57421875" style="856" customWidth="1"/>
    <col min="4" max="4" width="12.7109375" style="856" customWidth="1"/>
    <col min="5" max="5" width="13.28125" style="856" customWidth="1"/>
    <col min="6" max="6" width="13.00390625" style="856" customWidth="1"/>
    <col min="7" max="7" width="11.57421875" style="856" customWidth="1"/>
    <col min="8" max="10" width="9.140625" style="856" customWidth="1"/>
    <col min="11" max="11" width="13.57421875" style="856" customWidth="1"/>
    <col min="12" max="12" width="13.7109375" style="856" customWidth="1"/>
    <col min="13" max="255" width="9.140625" style="856" customWidth="1"/>
    <col min="256" max="16384" width="5.57421875" style="856" customWidth="1"/>
  </cols>
  <sheetData>
    <row r="1" spans="1:7" s="236" customFormat="1" ht="39.75" customHeight="1">
      <c r="A1" s="1108" t="s">
        <v>425</v>
      </c>
      <c r="B1" s="1108"/>
      <c r="C1" s="1108"/>
      <c r="D1" s="1108"/>
      <c r="E1" s="1108"/>
      <c r="G1" s="823"/>
    </row>
    <row r="2" s="236" customFormat="1" ht="13.5"/>
    <row r="3" spans="1:5" s="237" customFormat="1" ht="12.75">
      <c r="A3" s="824" t="s">
        <v>426</v>
      </c>
      <c r="B3" s="313"/>
      <c r="C3" s="313"/>
      <c r="D3" s="825"/>
      <c r="E3" s="275">
        <v>44593</v>
      </c>
    </row>
    <row r="4" spans="1:5" s="237" customFormat="1" ht="12.75">
      <c r="A4" s="824" t="s">
        <v>427</v>
      </c>
      <c r="B4" s="313"/>
      <c r="C4" s="313"/>
      <c r="D4" s="825"/>
      <c r="E4" s="826">
        <f>+E35*1000/D35*100</f>
        <v>100.00112126478669</v>
      </c>
    </row>
    <row r="5" spans="1:4" s="237" customFormat="1" ht="12.75">
      <c r="A5" s="328"/>
      <c r="B5" s="328"/>
      <c r="C5" s="328"/>
      <c r="D5" s="827"/>
    </row>
    <row r="6" spans="1:5" s="237" customFormat="1" ht="13.5" thickBot="1">
      <c r="A6" s="828"/>
      <c r="E6" s="829"/>
    </row>
    <row r="7" spans="1:5" s="237" customFormat="1" ht="18.75" customHeight="1">
      <c r="A7" s="1111" t="s">
        <v>152</v>
      </c>
      <c r="B7" s="1111" t="s">
        <v>393</v>
      </c>
      <c r="C7" s="1113" t="s">
        <v>394</v>
      </c>
      <c r="D7" s="1114"/>
      <c r="E7" s="1115" t="s">
        <v>428</v>
      </c>
    </row>
    <row r="8" spans="1:5" s="237" customFormat="1" ht="50.25" customHeight="1" thickBot="1">
      <c r="A8" s="1117"/>
      <c r="B8" s="1117"/>
      <c r="C8" s="830" t="s">
        <v>429</v>
      </c>
      <c r="D8" s="831" t="s">
        <v>430</v>
      </c>
      <c r="E8" s="1118"/>
    </row>
    <row r="9" spans="1:5" s="237" customFormat="1" ht="13.5" thickTop="1">
      <c r="A9" s="832" t="s">
        <v>396</v>
      </c>
      <c r="B9" s="833" t="s">
        <v>80</v>
      </c>
      <c r="C9" s="834">
        <v>139</v>
      </c>
      <c r="D9" s="835">
        <v>7777500</v>
      </c>
      <c r="E9" s="836">
        <v>7777</v>
      </c>
    </row>
    <row r="10" spans="1:5" s="237" customFormat="1" ht="12.75">
      <c r="A10" s="837" t="s">
        <v>397</v>
      </c>
      <c r="B10" s="838" t="s">
        <v>81</v>
      </c>
      <c r="C10" s="839">
        <v>29</v>
      </c>
      <c r="D10" s="840">
        <v>1215000</v>
      </c>
      <c r="E10" s="841">
        <f aca="true" t="shared" si="0" ref="E10:E32">+D10/1000</f>
        <v>1215</v>
      </c>
    </row>
    <row r="11" spans="1:5" s="237" customFormat="1" ht="12.75">
      <c r="A11" s="837" t="s">
        <v>398</v>
      </c>
      <c r="B11" s="838" t="s">
        <v>399</v>
      </c>
      <c r="C11" s="839" t="s">
        <v>418</v>
      </c>
      <c r="D11" s="840" t="s">
        <v>418</v>
      </c>
      <c r="E11" s="841" t="s">
        <v>431</v>
      </c>
    </row>
    <row r="12" spans="1:5" s="237" customFormat="1" ht="12.75">
      <c r="A12" s="837" t="s">
        <v>400</v>
      </c>
      <c r="B12" s="838" t="s">
        <v>83</v>
      </c>
      <c r="C12" s="839">
        <v>332</v>
      </c>
      <c r="D12" s="840">
        <v>18167000</v>
      </c>
      <c r="E12" s="841">
        <f t="shared" si="0"/>
        <v>18167</v>
      </c>
    </row>
    <row r="13" spans="1:5" s="237" customFormat="1" ht="12.75">
      <c r="A13" s="837" t="s">
        <v>401</v>
      </c>
      <c r="B13" s="838" t="s">
        <v>84</v>
      </c>
      <c r="C13" s="839">
        <v>59</v>
      </c>
      <c r="D13" s="840">
        <v>3019000</v>
      </c>
      <c r="E13" s="841">
        <f t="shared" si="0"/>
        <v>3019</v>
      </c>
    </row>
    <row r="14" spans="1:5" s="237" customFormat="1" ht="12.75">
      <c r="A14" s="837" t="s">
        <v>402</v>
      </c>
      <c r="B14" s="838" t="s">
        <v>85</v>
      </c>
      <c r="C14" s="839" t="s">
        <v>418</v>
      </c>
      <c r="D14" s="840" t="s">
        <v>418</v>
      </c>
      <c r="E14" s="841" t="s">
        <v>431</v>
      </c>
    </row>
    <row r="15" spans="1:5" s="237" customFormat="1" ht="12.75">
      <c r="A15" s="837" t="s">
        <v>403</v>
      </c>
      <c r="B15" s="838" t="s">
        <v>86</v>
      </c>
      <c r="C15" s="839">
        <v>34</v>
      </c>
      <c r="D15" s="840">
        <v>1441000</v>
      </c>
      <c r="E15" s="841">
        <f t="shared" si="0"/>
        <v>1441</v>
      </c>
    </row>
    <row r="16" spans="1:5" s="237" customFormat="1" ht="12.75">
      <c r="A16" s="837" t="s">
        <v>404</v>
      </c>
      <c r="B16" s="838" t="s">
        <v>87</v>
      </c>
      <c r="C16" s="839">
        <v>18</v>
      </c>
      <c r="D16" s="840">
        <v>662000</v>
      </c>
      <c r="E16" s="841">
        <f t="shared" si="0"/>
        <v>662</v>
      </c>
    </row>
    <row r="17" spans="1:5" s="237" customFormat="1" ht="12.75">
      <c r="A17" s="837" t="s">
        <v>405</v>
      </c>
      <c r="B17" s="838" t="s">
        <v>88</v>
      </c>
      <c r="C17" s="839">
        <v>8</v>
      </c>
      <c r="D17" s="840">
        <v>395000</v>
      </c>
      <c r="E17" s="841">
        <f t="shared" si="0"/>
        <v>395</v>
      </c>
    </row>
    <row r="18" spans="1:5" s="237" customFormat="1" ht="12.75">
      <c r="A18" s="837" t="s">
        <v>406</v>
      </c>
      <c r="B18" s="838" t="s">
        <v>89</v>
      </c>
      <c r="C18" s="839">
        <v>53</v>
      </c>
      <c r="D18" s="840">
        <v>1659500</v>
      </c>
      <c r="E18" s="841">
        <f t="shared" si="0"/>
        <v>1659.5</v>
      </c>
    </row>
    <row r="19" spans="1:5" s="237" customFormat="1" ht="12.75">
      <c r="A19" s="837" t="s">
        <v>407</v>
      </c>
      <c r="B19" s="838" t="s">
        <v>432</v>
      </c>
      <c r="C19" s="839" t="s">
        <v>418</v>
      </c>
      <c r="D19" s="840" t="s">
        <v>418</v>
      </c>
      <c r="E19" s="841" t="s">
        <v>431</v>
      </c>
    </row>
    <row r="20" spans="1:5" s="237" customFormat="1" ht="12.75">
      <c r="A20" s="837" t="s">
        <v>408</v>
      </c>
      <c r="B20" s="838" t="s">
        <v>91</v>
      </c>
      <c r="C20" s="839">
        <v>60</v>
      </c>
      <c r="D20" s="840">
        <v>1978500</v>
      </c>
      <c r="E20" s="841">
        <f t="shared" si="0"/>
        <v>1978.5</v>
      </c>
    </row>
    <row r="21" spans="1:5" s="237" customFormat="1" ht="12.75">
      <c r="A21" s="837" t="s">
        <v>409</v>
      </c>
      <c r="B21" s="838" t="s">
        <v>92</v>
      </c>
      <c r="C21" s="839" t="s">
        <v>418</v>
      </c>
      <c r="D21" s="840" t="s">
        <v>418</v>
      </c>
      <c r="E21" s="841" t="s">
        <v>431</v>
      </c>
    </row>
    <row r="22" spans="1:5" s="237" customFormat="1" ht="12.75">
      <c r="A22" s="837" t="s">
        <v>410</v>
      </c>
      <c r="B22" s="838" t="s">
        <v>93</v>
      </c>
      <c r="C22" s="839">
        <v>10</v>
      </c>
      <c r="D22" s="840">
        <v>565000</v>
      </c>
      <c r="E22" s="841">
        <f t="shared" si="0"/>
        <v>565</v>
      </c>
    </row>
    <row r="23" spans="1:5" s="237" customFormat="1" ht="12.75">
      <c r="A23" s="837" t="s">
        <v>411</v>
      </c>
      <c r="B23" s="838" t="s">
        <v>94</v>
      </c>
      <c r="C23" s="839">
        <v>13</v>
      </c>
      <c r="D23" s="840">
        <v>265000</v>
      </c>
      <c r="E23" s="841">
        <f t="shared" si="0"/>
        <v>265</v>
      </c>
    </row>
    <row r="24" spans="1:5" s="237" customFormat="1" ht="12.75">
      <c r="A24" s="837" t="s">
        <v>412</v>
      </c>
      <c r="B24" s="838" t="s">
        <v>433</v>
      </c>
      <c r="C24" s="839">
        <v>47</v>
      </c>
      <c r="D24" s="840">
        <v>1777000</v>
      </c>
      <c r="E24" s="841">
        <f t="shared" si="0"/>
        <v>1777</v>
      </c>
    </row>
    <row r="25" spans="1:5" s="237" customFormat="1" ht="12.75">
      <c r="A25" s="837" t="s">
        <v>413</v>
      </c>
      <c r="B25" s="838" t="s">
        <v>96</v>
      </c>
      <c r="C25" s="839" t="s">
        <v>418</v>
      </c>
      <c r="D25" s="840" t="s">
        <v>418</v>
      </c>
      <c r="E25" s="841" t="s">
        <v>431</v>
      </c>
    </row>
    <row r="26" spans="1:5" s="237" customFormat="1" ht="12.75">
      <c r="A26" s="837" t="s">
        <v>414</v>
      </c>
      <c r="B26" s="838" t="s">
        <v>97</v>
      </c>
      <c r="C26" s="839">
        <v>23</v>
      </c>
      <c r="D26" s="840">
        <v>1360000</v>
      </c>
      <c r="E26" s="841">
        <f t="shared" si="0"/>
        <v>1360</v>
      </c>
    </row>
    <row r="27" spans="1:5" s="237" customFormat="1" ht="12.75">
      <c r="A27" s="837" t="s">
        <v>415</v>
      </c>
      <c r="B27" s="838" t="s">
        <v>98</v>
      </c>
      <c r="C27" s="839">
        <v>52</v>
      </c>
      <c r="D27" s="840">
        <v>2161000</v>
      </c>
      <c r="E27" s="841">
        <f t="shared" si="0"/>
        <v>2161</v>
      </c>
    </row>
    <row r="28" spans="1:5" s="237" customFormat="1" ht="12.75">
      <c r="A28" s="837" t="s">
        <v>416</v>
      </c>
      <c r="B28" s="838" t="s">
        <v>99</v>
      </c>
      <c r="C28" s="839" t="s">
        <v>418</v>
      </c>
      <c r="D28" s="840" t="s">
        <v>418</v>
      </c>
      <c r="E28" s="842" t="s">
        <v>431</v>
      </c>
    </row>
    <row r="29" spans="1:5" s="237" customFormat="1" ht="12.75">
      <c r="A29" s="837" t="s">
        <v>417</v>
      </c>
      <c r="B29" s="838" t="s">
        <v>100</v>
      </c>
      <c r="C29" s="839" t="s">
        <v>418</v>
      </c>
      <c r="D29" s="840" t="s">
        <v>418</v>
      </c>
      <c r="E29" s="842" t="s">
        <v>431</v>
      </c>
    </row>
    <row r="30" spans="1:5" s="237" customFormat="1" ht="12.75">
      <c r="A30" s="837" t="s">
        <v>419</v>
      </c>
      <c r="B30" s="838" t="s">
        <v>101</v>
      </c>
      <c r="C30" s="839" t="s">
        <v>418</v>
      </c>
      <c r="D30" s="840" t="s">
        <v>418</v>
      </c>
      <c r="E30" s="842" t="s">
        <v>431</v>
      </c>
    </row>
    <row r="31" spans="1:5" s="237" customFormat="1" ht="12.75">
      <c r="A31" s="837" t="s">
        <v>420</v>
      </c>
      <c r="B31" s="838" t="s">
        <v>102</v>
      </c>
      <c r="C31" s="839" t="s">
        <v>418</v>
      </c>
      <c r="D31" s="840" t="s">
        <v>418</v>
      </c>
      <c r="E31" s="842" t="s">
        <v>431</v>
      </c>
    </row>
    <row r="32" spans="1:5" s="237" customFormat="1" ht="12.75">
      <c r="A32" s="837" t="s">
        <v>421</v>
      </c>
      <c r="B32" s="838" t="s">
        <v>434</v>
      </c>
      <c r="C32" s="839">
        <v>17</v>
      </c>
      <c r="D32" s="840">
        <v>2150000</v>
      </c>
      <c r="E32" s="841">
        <f t="shared" si="0"/>
        <v>2150</v>
      </c>
    </row>
    <row r="33" spans="1:5" s="237" customFormat="1" ht="12.75">
      <c r="A33" s="837" t="s">
        <v>423</v>
      </c>
      <c r="B33" s="838" t="s">
        <v>104</v>
      </c>
      <c r="C33" s="839" t="s">
        <v>418</v>
      </c>
      <c r="D33" s="840" t="s">
        <v>418</v>
      </c>
      <c r="E33" s="842" t="s">
        <v>431</v>
      </c>
    </row>
    <row r="34" spans="1:5" s="237" customFormat="1" ht="13.5" thickBot="1">
      <c r="A34" s="843" t="s">
        <v>424</v>
      </c>
      <c r="B34" s="844" t="s">
        <v>435</v>
      </c>
      <c r="C34" s="839" t="s">
        <v>418</v>
      </c>
      <c r="D34" s="840" t="s">
        <v>418</v>
      </c>
      <c r="E34" s="842" t="s">
        <v>431</v>
      </c>
    </row>
    <row r="35" spans="1:7" s="850" customFormat="1" ht="14.25" thickBot="1" thickTop="1">
      <c r="A35" s="845"/>
      <c r="B35" s="846"/>
      <c r="C35" s="847">
        <f>SUM(C9:C34)</f>
        <v>894</v>
      </c>
      <c r="D35" s="848">
        <f>SUM(D9:D34)</f>
        <v>44592500</v>
      </c>
      <c r="E35" s="849">
        <v>44593</v>
      </c>
      <c r="F35" s="261"/>
      <c r="G35" s="261"/>
    </row>
    <row r="36" s="851" customFormat="1" ht="13.5">
      <c r="C36" s="852"/>
    </row>
    <row r="37" s="853" customFormat="1" ht="13.5"/>
    <row r="38" s="853" customFormat="1" ht="13.5"/>
    <row r="39" s="853" customFormat="1" ht="13.5">
      <c r="C39" s="854"/>
    </row>
    <row r="40" spans="1:8" ht="15">
      <c r="A40" s="855"/>
      <c r="B40" s="855"/>
      <c r="C40" s="855"/>
      <c r="D40" s="855"/>
      <c r="E40" s="855"/>
      <c r="F40" s="855"/>
      <c r="G40" s="855"/>
      <c r="H40" s="855"/>
    </row>
    <row r="41" spans="1:8" ht="15">
      <c r="A41" s="855"/>
      <c r="B41" s="855"/>
      <c r="C41" s="855"/>
      <c r="D41" s="855"/>
      <c r="E41" s="855"/>
      <c r="F41" s="855"/>
      <c r="G41" s="855"/>
      <c r="H41" s="855"/>
    </row>
    <row r="42" spans="1:8" ht="15">
      <c r="A42" s="855"/>
      <c r="B42" s="855"/>
      <c r="C42" s="855"/>
      <c r="D42" s="855"/>
      <c r="E42" s="855"/>
      <c r="F42" s="855"/>
      <c r="G42" s="855"/>
      <c r="H42" s="855"/>
    </row>
    <row r="43" spans="1:8" ht="15">
      <c r="A43" s="855"/>
      <c r="B43" s="855"/>
      <c r="C43" s="855"/>
      <c r="D43" s="855"/>
      <c r="E43" s="855"/>
      <c r="F43" s="855"/>
      <c r="G43" s="855"/>
      <c r="H43" s="855"/>
    </row>
    <row r="44" spans="1:8" ht="15">
      <c r="A44" s="855"/>
      <c r="B44" s="855"/>
      <c r="C44" s="855"/>
      <c r="D44" s="855"/>
      <c r="E44" s="855"/>
      <c r="F44" s="855"/>
      <c r="G44" s="855"/>
      <c r="H44" s="855"/>
    </row>
    <row r="45" spans="1:8" ht="15">
      <c r="A45" s="855"/>
      <c r="B45" s="855"/>
      <c r="C45" s="855"/>
      <c r="D45" s="855"/>
      <c r="E45" s="855"/>
      <c r="F45" s="855"/>
      <c r="G45" s="855"/>
      <c r="H45" s="855"/>
    </row>
    <row r="46" spans="1:8" ht="15">
      <c r="A46" s="855"/>
      <c r="B46" s="855"/>
      <c r="C46" s="855"/>
      <c r="D46" s="855"/>
      <c r="E46" s="855"/>
      <c r="F46" s="855"/>
      <c r="G46" s="855"/>
      <c r="H46" s="855"/>
    </row>
    <row r="47" spans="1:8" ht="15">
      <c r="A47" s="855"/>
      <c r="B47" s="855"/>
      <c r="C47" s="855"/>
      <c r="D47" s="855"/>
      <c r="E47" s="855"/>
      <c r="F47" s="855"/>
      <c r="G47" s="855"/>
      <c r="H47" s="855"/>
    </row>
    <row r="48" spans="1:8" ht="15">
      <c r="A48" s="855"/>
      <c r="B48" s="855"/>
      <c r="C48" s="855"/>
      <c r="D48" s="855"/>
      <c r="E48" s="855"/>
      <c r="F48" s="855"/>
      <c r="G48" s="855"/>
      <c r="H48" s="855"/>
    </row>
    <row r="49" spans="1:8" ht="15">
      <c r="A49" s="855"/>
      <c r="B49" s="855"/>
      <c r="C49" s="855"/>
      <c r="D49" s="855"/>
      <c r="E49" s="855"/>
      <c r="F49" s="855"/>
      <c r="G49" s="855"/>
      <c r="H49" s="855"/>
    </row>
    <row r="50" spans="1:8" ht="15">
      <c r="A50" s="855"/>
      <c r="B50" s="855"/>
      <c r="C50" s="855"/>
      <c r="D50" s="855"/>
      <c r="E50" s="855"/>
      <c r="F50" s="855"/>
      <c r="G50" s="855"/>
      <c r="H50" s="855"/>
    </row>
    <row r="51" spans="1:8" ht="15">
      <c r="A51" s="855"/>
      <c r="B51" s="855"/>
      <c r="C51" s="855"/>
      <c r="D51" s="855"/>
      <c r="E51" s="855"/>
      <c r="F51" s="855"/>
      <c r="G51" s="855"/>
      <c r="H51" s="855"/>
    </row>
    <row r="52" spans="1:8" ht="15">
      <c r="A52" s="855"/>
      <c r="B52" s="855"/>
      <c r="C52" s="855"/>
      <c r="D52" s="855"/>
      <c r="E52" s="855"/>
      <c r="F52" s="855"/>
      <c r="G52" s="855"/>
      <c r="H52" s="855"/>
    </row>
    <row r="53" spans="1:8" ht="15">
      <c r="A53" s="855"/>
      <c r="B53" s="855"/>
      <c r="C53" s="855"/>
      <c r="D53" s="855"/>
      <c r="E53" s="855"/>
      <c r="F53" s="855"/>
      <c r="G53" s="855"/>
      <c r="H53" s="855"/>
    </row>
    <row r="54" spans="1:8" ht="15">
      <c r="A54" s="855"/>
      <c r="B54" s="855"/>
      <c r="C54" s="855"/>
      <c r="D54" s="855"/>
      <c r="E54" s="855"/>
      <c r="F54" s="855"/>
      <c r="G54" s="855"/>
      <c r="H54" s="855"/>
    </row>
    <row r="55" spans="1:8" ht="15">
      <c r="A55" s="855"/>
      <c r="B55" s="855"/>
      <c r="C55" s="855"/>
      <c r="D55" s="855"/>
      <c r="E55" s="855"/>
      <c r="F55" s="855"/>
      <c r="G55" s="855"/>
      <c r="H55" s="855"/>
    </row>
    <row r="56" spans="1:8" ht="15">
      <c r="A56" s="855"/>
      <c r="B56" s="855"/>
      <c r="C56" s="855"/>
      <c r="D56" s="855"/>
      <c r="E56" s="855"/>
      <c r="F56" s="855"/>
      <c r="G56" s="855"/>
      <c r="H56" s="855"/>
    </row>
    <row r="57" spans="1:8" ht="15">
      <c r="A57" s="855"/>
      <c r="B57" s="855"/>
      <c r="C57" s="855"/>
      <c r="D57" s="855"/>
      <c r="E57" s="855"/>
      <c r="F57" s="855"/>
      <c r="G57" s="855"/>
      <c r="H57" s="855"/>
    </row>
    <row r="58" spans="1:8" ht="15">
      <c r="A58" s="855"/>
      <c r="B58" s="855"/>
      <c r="C58" s="855"/>
      <c r="D58" s="855"/>
      <c r="E58" s="855"/>
      <c r="F58" s="855"/>
      <c r="G58" s="855"/>
      <c r="H58" s="855"/>
    </row>
    <row r="59" spans="1:8" ht="15">
      <c r="A59" s="855"/>
      <c r="B59" s="855"/>
      <c r="C59" s="855"/>
      <c r="D59" s="855"/>
      <c r="E59" s="855"/>
      <c r="F59" s="855"/>
      <c r="G59" s="855"/>
      <c r="H59" s="855"/>
    </row>
    <row r="60" spans="1:8" ht="15">
      <c r="A60" s="855"/>
      <c r="B60" s="855"/>
      <c r="C60" s="855"/>
      <c r="D60" s="855"/>
      <c r="E60" s="855"/>
      <c r="F60" s="855"/>
      <c r="G60" s="855"/>
      <c r="H60" s="855"/>
    </row>
    <row r="61" spans="1:8" ht="15">
      <c r="A61" s="855"/>
      <c r="B61" s="855"/>
      <c r="C61" s="855"/>
      <c r="D61" s="855"/>
      <c r="E61" s="855"/>
      <c r="F61" s="855"/>
      <c r="G61" s="855"/>
      <c r="H61" s="855"/>
    </row>
    <row r="62" spans="1:8" ht="15">
      <c r="A62" s="855"/>
      <c r="B62" s="855"/>
      <c r="C62" s="855"/>
      <c r="D62" s="855"/>
      <c r="E62" s="855"/>
      <c r="F62" s="855"/>
      <c r="G62" s="855"/>
      <c r="H62" s="855"/>
    </row>
    <row r="63" spans="1:8" ht="15">
      <c r="A63" s="855"/>
      <c r="B63" s="855"/>
      <c r="C63" s="855"/>
      <c r="D63" s="855"/>
      <c r="E63" s="855"/>
      <c r="F63" s="855"/>
      <c r="G63" s="855"/>
      <c r="H63" s="855"/>
    </row>
    <row r="64" spans="1:8" ht="15">
      <c r="A64" s="855"/>
      <c r="B64" s="855"/>
      <c r="C64" s="855"/>
      <c r="D64" s="855"/>
      <c r="E64" s="855"/>
      <c r="F64" s="855"/>
      <c r="G64" s="855"/>
      <c r="H64" s="855"/>
    </row>
    <row r="65" spans="1:8" ht="15">
      <c r="A65" s="855"/>
      <c r="B65" s="855"/>
      <c r="C65" s="855"/>
      <c r="D65" s="855"/>
      <c r="E65" s="855"/>
      <c r="F65" s="855"/>
      <c r="G65" s="855"/>
      <c r="H65" s="855"/>
    </row>
    <row r="66" spans="1:8" ht="15">
      <c r="A66" s="855"/>
      <c r="B66" s="855"/>
      <c r="C66" s="855"/>
      <c r="D66" s="855"/>
      <c r="E66" s="855"/>
      <c r="F66" s="855"/>
      <c r="G66" s="855"/>
      <c r="H66" s="855"/>
    </row>
    <row r="67" spans="1:8" ht="15">
      <c r="A67" s="855"/>
      <c r="B67" s="855"/>
      <c r="C67" s="855"/>
      <c r="D67" s="855"/>
      <c r="E67" s="855"/>
      <c r="F67" s="855"/>
      <c r="G67" s="855"/>
      <c r="H67" s="855"/>
    </row>
    <row r="68" spans="1:8" ht="15">
      <c r="A68" s="855"/>
      <c r="B68" s="855"/>
      <c r="C68" s="855"/>
      <c r="D68" s="855"/>
      <c r="E68" s="855"/>
      <c r="F68" s="855"/>
      <c r="G68" s="855"/>
      <c r="H68" s="855"/>
    </row>
    <row r="69" spans="1:8" ht="15">
      <c r="A69" s="855"/>
      <c r="B69" s="855"/>
      <c r="C69" s="855"/>
      <c r="D69" s="855"/>
      <c r="E69" s="855"/>
      <c r="F69" s="855"/>
      <c r="G69" s="855"/>
      <c r="H69" s="855"/>
    </row>
    <row r="70" spans="1:8" ht="15">
      <c r="A70" s="855"/>
      <c r="B70" s="855"/>
      <c r="C70" s="855"/>
      <c r="D70" s="855"/>
      <c r="E70" s="855"/>
      <c r="F70" s="855"/>
      <c r="G70" s="855"/>
      <c r="H70" s="855"/>
    </row>
    <row r="71" spans="1:8" ht="15">
      <c r="A71" s="855"/>
      <c r="B71" s="855"/>
      <c r="C71" s="855"/>
      <c r="D71" s="855"/>
      <c r="E71" s="855"/>
      <c r="F71" s="855"/>
      <c r="G71" s="855"/>
      <c r="H71" s="855"/>
    </row>
  </sheetData>
  <sheetProtection/>
  <mergeCells count="5">
    <mergeCell ref="A1:E1"/>
    <mergeCell ref="A7:A8"/>
    <mergeCell ref="B7:B8"/>
    <mergeCell ref="C7:D7"/>
    <mergeCell ref="E7:E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B1:G3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.140625" style="237" customWidth="1"/>
    <col min="2" max="2" width="9.140625" style="237" customWidth="1"/>
    <col min="3" max="3" width="47.8515625" style="237" customWidth="1"/>
    <col min="4" max="16384" width="9.140625" style="237" customWidth="1"/>
  </cols>
  <sheetData>
    <row r="1" ht="15">
      <c r="B1" s="906" t="s">
        <v>443</v>
      </c>
    </row>
    <row r="2" ht="13.5" thickBot="1"/>
    <row r="3" spans="2:6" ht="39.75" thickBot="1">
      <c r="B3" s="943" t="s">
        <v>76</v>
      </c>
      <c r="C3" s="948" t="s">
        <v>444</v>
      </c>
      <c r="D3" s="949" t="s">
        <v>382</v>
      </c>
      <c r="E3" s="950" t="s">
        <v>383</v>
      </c>
      <c r="F3" s="951" t="s">
        <v>384</v>
      </c>
    </row>
    <row r="4" spans="2:7" ht="12.75">
      <c r="B4" s="732">
        <v>11000</v>
      </c>
      <c r="C4" s="944" t="s">
        <v>389</v>
      </c>
      <c r="D4" s="890">
        <v>18054</v>
      </c>
      <c r="E4" s="891">
        <f>3939+197+147+2988</f>
        <v>7271</v>
      </c>
      <c r="F4" s="892">
        <f aca="true" t="shared" si="0" ref="F4:F30">SUM(D4:E4)</f>
        <v>25325</v>
      </c>
      <c r="G4" s="238"/>
    </row>
    <row r="5" spans="2:7" ht="12.75">
      <c r="B5" s="734">
        <v>12000</v>
      </c>
      <c r="C5" s="945" t="s">
        <v>81</v>
      </c>
      <c r="D5" s="893">
        <f>6558+1515</f>
        <v>8073</v>
      </c>
      <c r="E5" s="894">
        <f>942+89</f>
        <v>1031</v>
      </c>
      <c r="F5" s="895">
        <f t="shared" si="0"/>
        <v>9104</v>
      </c>
      <c r="G5" s="238"/>
    </row>
    <row r="6" spans="2:7" ht="12.75">
      <c r="B6" s="734">
        <v>13000</v>
      </c>
      <c r="C6" s="945" t="s">
        <v>82</v>
      </c>
      <c r="D6" s="893">
        <v>2585</v>
      </c>
      <c r="E6" s="894">
        <v>223</v>
      </c>
      <c r="F6" s="895">
        <f t="shared" si="0"/>
        <v>2808</v>
      </c>
      <c r="G6" s="238"/>
    </row>
    <row r="7" spans="2:7" ht="12.75">
      <c r="B7" s="734">
        <v>14000</v>
      </c>
      <c r="C7" s="945" t="s">
        <v>83</v>
      </c>
      <c r="D7" s="893">
        <f>5442+762</f>
        <v>6204</v>
      </c>
      <c r="E7" s="894">
        <f>3264+183</f>
        <v>3447</v>
      </c>
      <c r="F7" s="895">
        <f t="shared" si="0"/>
        <v>9651</v>
      </c>
      <c r="G7" s="238"/>
    </row>
    <row r="8" spans="2:7" ht="12.75">
      <c r="B8" s="734">
        <v>15000</v>
      </c>
      <c r="C8" s="945" t="s">
        <v>84</v>
      </c>
      <c r="D8" s="893">
        <v>10046</v>
      </c>
      <c r="E8" s="894">
        <v>2818</v>
      </c>
      <c r="F8" s="895">
        <f t="shared" si="0"/>
        <v>12864</v>
      </c>
      <c r="G8" s="238"/>
    </row>
    <row r="9" spans="2:7" ht="12.75">
      <c r="B9" s="734">
        <v>16000</v>
      </c>
      <c r="C9" s="945" t="s">
        <v>85</v>
      </c>
      <c r="D9" s="893">
        <v>2727</v>
      </c>
      <c r="E9" s="894">
        <v>907</v>
      </c>
      <c r="F9" s="895">
        <f t="shared" si="0"/>
        <v>3634</v>
      </c>
      <c r="G9" s="238"/>
    </row>
    <row r="10" spans="2:7" ht="12.75">
      <c r="B10" s="734">
        <v>17000</v>
      </c>
      <c r="C10" s="945" t="s">
        <v>387</v>
      </c>
      <c r="D10" s="893">
        <v>3078</v>
      </c>
      <c r="E10" s="894">
        <v>112</v>
      </c>
      <c r="F10" s="895">
        <f t="shared" si="0"/>
        <v>3190</v>
      </c>
      <c r="G10" s="238"/>
    </row>
    <row r="11" spans="2:7" ht="12.75">
      <c r="B11" s="734">
        <v>18000</v>
      </c>
      <c r="C11" s="945" t="s">
        <v>87</v>
      </c>
      <c r="D11" s="893">
        <v>0</v>
      </c>
      <c r="E11" s="894">
        <v>252</v>
      </c>
      <c r="F11" s="895">
        <f t="shared" si="0"/>
        <v>252</v>
      </c>
      <c r="G11" s="238"/>
    </row>
    <row r="12" spans="2:7" ht="12.75">
      <c r="B12" s="734">
        <v>19000</v>
      </c>
      <c r="C12" s="945" t="s">
        <v>88</v>
      </c>
      <c r="D12" s="893">
        <v>1580</v>
      </c>
      <c r="E12" s="894">
        <v>0</v>
      </c>
      <c r="F12" s="895">
        <f t="shared" si="0"/>
        <v>1580</v>
      </c>
      <c r="G12" s="238"/>
    </row>
    <row r="13" spans="2:7" ht="12.75">
      <c r="B13" s="734">
        <v>21000</v>
      </c>
      <c r="C13" s="945" t="s">
        <v>385</v>
      </c>
      <c r="D13" s="893">
        <v>16268</v>
      </c>
      <c r="E13" s="894">
        <v>7665</v>
      </c>
      <c r="F13" s="895">
        <f t="shared" si="0"/>
        <v>23933</v>
      </c>
      <c r="G13" s="238"/>
    </row>
    <row r="14" spans="2:7" ht="12.75">
      <c r="B14" s="734">
        <v>22000</v>
      </c>
      <c r="C14" s="945" t="s">
        <v>90</v>
      </c>
      <c r="D14" s="893">
        <v>4986</v>
      </c>
      <c r="E14" s="894">
        <v>1639</v>
      </c>
      <c r="F14" s="895">
        <f t="shared" si="0"/>
        <v>6625</v>
      </c>
      <c r="G14" s="238"/>
    </row>
    <row r="15" spans="2:7" ht="12.75">
      <c r="B15" s="734">
        <v>23000</v>
      </c>
      <c r="C15" s="945" t="s">
        <v>91</v>
      </c>
      <c r="D15" s="893">
        <f>0+1749</f>
        <v>1749</v>
      </c>
      <c r="E15" s="894">
        <v>1479</v>
      </c>
      <c r="F15" s="895">
        <f t="shared" si="0"/>
        <v>3228</v>
      </c>
      <c r="G15" s="238"/>
    </row>
    <row r="16" spans="2:7" ht="12.75">
      <c r="B16" s="734">
        <v>24000</v>
      </c>
      <c r="C16" s="945" t="s">
        <v>388</v>
      </c>
      <c r="D16" s="893">
        <v>6558</v>
      </c>
      <c r="E16" s="894">
        <v>570</v>
      </c>
      <c r="F16" s="895">
        <f t="shared" si="0"/>
        <v>7128</v>
      </c>
      <c r="G16" s="238"/>
    </row>
    <row r="17" spans="2:7" ht="12.75">
      <c r="B17" s="734">
        <v>25000</v>
      </c>
      <c r="C17" s="945" t="s">
        <v>93</v>
      </c>
      <c r="D17" s="893">
        <v>4611</v>
      </c>
      <c r="E17" s="894">
        <v>2799</v>
      </c>
      <c r="F17" s="895">
        <f t="shared" si="0"/>
        <v>7410</v>
      </c>
      <c r="G17" s="238"/>
    </row>
    <row r="18" spans="2:7" ht="12.75">
      <c r="B18" s="734">
        <v>26000</v>
      </c>
      <c r="C18" s="945" t="s">
        <v>94</v>
      </c>
      <c r="D18" s="893">
        <f>21106+750</f>
        <v>21856</v>
      </c>
      <c r="E18" s="894">
        <v>4478</v>
      </c>
      <c r="F18" s="895">
        <f t="shared" si="0"/>
        <v>26334</v>
      </c>
      <c r="G18" s="238"/>
    </row>
    <row r="19" spans="2:7" ht="12.75">
      <c r="B19" s="734">
        <v>27000</v>
      </c>
      <c r="C19" s="945" t="s">
        <v>95</v>
      </c>
      <c r="D19" s="893">
        <v>8391</v>
      </c>
      <c r="E19" s="894">
        <v>4246</v>
      </c>
      <c r="F19" s="895">
        <f t="shared" si="0"/>
        <v>12637</v>
      </c>
      <c r="G19" s="238"/>
    </row>
    <row r="20" spans="2:7" ht="12.75">
      <c r="B20" s="734">
        <v>28000</v>
      </c>
      <c r="C20" s="945" t="s">
        <v>96</v>
      </c>
      <c r="D20" s="893">
        <v>3409</v>
      </c>
      <c r="E20" s="894">
        <v>1108</v>
      </c>
      <c r="F20" s="895">
        <f t="shared" si="0"/>
        <v>4517</v>
      </c>
      <c r="G20" s="238"/>
    </row>
    <row r="21" spans="2:7" ht="12.75">
      <c r="B21" s="734">
        <v>31000</v>
      </c>
      <c r="C21" s="945" t="s">
        <v>97</v>
      </c>
      <c r="D21" s="893">
        <v>0</v>
      </c>
      <c r="E21" s="894">
        <v>364</v>
      </c>
      <c r="F21" s="895">
        <f t="shared" si="0"/>
        <v>364</v>
      </c>
      <c r="G21" s="238"/>
    </row>
    <row r="22" spans="2:7" ht="12.75">
      <c r="B22" s="734">
        <v>41000</v>
      </c>
      <c r="C22" s="945" t="s">
        <v>386</v>
      </c>
      <c r="D22" s="893">
        <f>4065+1324</f>
        <v>5389</v>
      </c>
      <c r="E22" s="894">
        <v>1972</v>
      </c>
      <c r="F22" s="895">
        <f t="shared" si="0"/>
        <v>7361</v>
      </c>
      <c r="G22" s="238"/>
    </row>
    <row r="23" spans="2:7" ht="12.75">
      <c r="B23" s="734">
        <v>43000</v>
      </c>
      <c r="C23" s="945" t="s">
        <v>450</v>
      </c>
      <c r="D23" s="893">
        <v>4993</v>
      </c>
      <c r="E23" s="894">
        <v>849</v>
      </c>
      <c r="F23" s="895">
        <f t="shared" si="0"/>
        <v>5842</v>
      </c>
      <c r="G23" s="238"/>
    </row>
    <row r="24" spans="2:7" ht="12.75">
      <c r="B24" s="734">
        <v>51000</v>
      </c>
      <c r="C24" s="945" t="s">
        <v>100</v>
      </c>
      <c r="D24" s="893">
        <v>1739</v>
      </c>
      <c r="E24" s="894">
        <v>656</v>
      </c>
      <c r="F24" s="895">
        <f t="shared" si="0"/>
        <v>2395</v>
      </c>
      <c r="G24" s="238"/>
    </row>
    <row r="25" spans="2:7" ht="12.75">
      <c r="B25" s="734">
        <v>52000</v>
      </c>
      <c r="C25" s="945" t="s">
        <v>101</v>
      </c>
      <c r="D25" s="893">
        <v>0</v>
      </c>
      <c r="E25" s="894">
        <v>338</v>
      </c>
      <c r="F25" s="895">
        <f t="shared" si="0"/>
        <v>338</v>
      </c>
      <c r="G25" s="238"/>
    </row>
    <row r="26" spans="2:7" ht="12.75">
      <c r="B26" s="734">
        <v>53000</v>
      </c>
      <c r="C26" s="945" t="s">
        <v>102</v>
      </c>
      <c r="D26" s="893">
        <v>1580</v>
      </c>
      <c r="E26" s="894">
        <v>0</v>
      </c>
      <c r="F26" s="895">
        <f t="shared" si="0"/>
        <v>1580</v>
      </c>
      <c r="G26" s="238"/>
    </row>
    <row r="27" spans="2:7" ht="12.75">
      <c r="B27" s="734">
        <v>54000</v>
      </c>
      <c r="C27" s="945" t="s">
        <v>103</v>
      </c>
      <c r="D27" s="893">
        <v>2581</v>
      </c>
      <c r="E27" s="894">
        <v>621</v>
      </c>
      <c r="F27" s="895">
        <f t="shared" si="0"/>
        <v>3202</v>
      </c>
      <c r="G27" s="238"/>
    </row>
    <row r="28" spans="2:7" s="328" customFormat="1" ht="12.75">
      <c r="B28" s="734">
        <v>55000</v>
      </c>
      <c r="C28" s="945" t="s">
        <v>104</v>
      </c>
      <c r="D28" s="893">
        <v>2555</v>
      </c>
      <c r="E28" s="894">
        <v>0</v>
      </c>
      <c r="F28" s="895">
        <f t="shared" si="0"/>
        <v>2555</v>
      </c>
      <c r="G28" s="238"/>
    </row>
    <row r="29" spans="2:7" s="328" customFormat="1" ht="13.5" thickBot="1">
      <c r="B29" s="946">
        <v>56000</v>
      </c>
      <c r="C29" s="947" t="s">
        <v>105</v>
      </c>
      <c r="D29" s="896">
        <v>0</v>
      </c>
      <c r="E29" s="897">
        <v>57</v>
      </c>
      <c r="F29" s="898">
        <f t="shared" si="0"/>
        <v>57</v>
      </c>
      <c r="G29" s="238"/>
    </row>
    <row r="30" spans="2:7" ht="12.75">
      <c r="B30" s="1119" t="s">
        <v>390</v>
      </c>
      <c r="C30" s="1120"/>
      <c r="D30" s="899">
        <f>SUM(D4:D29)</f>
        <v>139012</v>
      </c>
      <c r="E30" s="900">
        <f>SUM(E4:E29)</f>
        <v>44902</v>
      </c>
      <c r="F30" s="901">
        <f t="shared" si="0"/>
        <v>183914</v>
      </c>
      <c r="G30" s="238"/>
    </row>
    <row r="31" spans="2:6" ht="12.75">
      <c r="B31" s="1121" t="s">
        <v>391</v>
      </c>
      <c r="C31" s="1122"/>
      <c r="D31" s="893"/>
      <c r="E31" s="894"/>
      <c r="F31" s="902">
        <v>17370</v>
      </c>
    </row>
    <row r="32" spans="2:6" ht="13.5" thickBot="1">
      <c r="B32" s="1123" t="s">
        <v>392</v>
      </c>
      <c r="C32" s="1124"/>
      <c r="D32" s="903"/>
      <c r="E32" s="904"/>
      <c r="F32" s="905">
        <f>SUM(F30:F31)</f>
        <v>201284</v>
      </c>
    </row>
  </sheetData>
  <sheetProtection/>
  <mergeCells count="3">
    <mergeCell ref="B30:C30"/>
    <mergeCell ref="B31:C31"/>
    <mergeCell ref="B32:C3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00" workbookViewId="0" topLeftCell="A1">
      <selection activeCell="A37" sqref="A37"/>
    </sheetView>
  </sheetViews>
  <sheetFormatPr defaultColWidth="9.140625" defaultRowHeight="15"/>
  <cols>
    <col min="1" max="1" width="54.57421875" style="293" customWidth="1"/>
    <col min="2" max="2" width="12.28125" style="293" customWidth="1"/>
    <col min="3" max="3" width="13.28125" style="293" customWidth="1"/>
    <col min="4" max="4" width="13.00390625" style="293" customWidth="1"/>
    <col min="5" max="5" width="9.7109375" style="293" customWidth="1"/>
    <col min="6" max="6" width="4.57421875" style="293" customWidth="1"/>
    <col min="7" max="18" width="10.8515625" style="0" customWidth="1"/>
    <col min="19" max="16384" width="9.140625" style="293" customWidth="1"/>
  </cols>
  <sheetData>
    <row r="1" spans="1:6" ht="15">
      <c r="A1" s="1125" t="s">
        <v>447</v>
      </c>
      <c r="B1" s="1125"/>
      <c r="C1" s="1125"/>
      <c r="D1" s="1125"/>
      <c r="E1" s="1125"/>
      <c r="F1" s="1125"/>
    </row>
    <row r="2" spans="1:6" ht="22.5" customHeight="1" thickBot="1">
      <c r="A2" s="907"/>
      <c r="B2" s="907"/>
      <c r="C2" s="907"/>
      <c r="D2" s="907"/>
      <c r="E2" s="907"/>
      <c r="F2" s="907"/>
    </row>
    <row r="3" spans="1:5" ht="27" thickBot="1">
      <c r="A3" s="908" t="s">
        <v>377</v>
      </c>
      <c r="B3" s="909" t="s">
        <v>378</v>
      </c>
      <c r="C3" s="910" t="s">
        <v>379</v>
      </c>
      <c r="D3" s="911" t="s">
        <v>380</v>
      </c>
      <c r="E3" s="912" t="s">
        <v>381</v>
      </c>
    </row>
    <row r="4" spans="1:9" ht="14.25">
      <c r="A4" s="936" t="s">
        <v>80</v>
      </c>
      <c r="B4" s="937">
        <v>138996</v>
      </c>
      <c r="C4" s="913">
        <v>123336</v>
      </c>
      <c r="D4" s="914">
        <v>15660</v>
      </c>
      <c r="E4" s="941">
        <f aca="true" t="shared" si="0" ref="E4:E29">SUM(C4:D4)</f>
        <v>138996</v>
      </c>
      <c r="I4" s="952"/>
    </row>
    <row r="5" spans="1:9" ht="14.25">
      <c r="A5" s="915" t="s">
        <v>81</v>
      </c>
      <c r="B5" s="920">
        <v>24234</v>
      </c>
      <c r="C5" s="917">
        <v>17387</v>
      </c>
      <c r="D5" s="918">
        <v>6847</v>
      </c>
      <c r="E5" s="921">
        <f t="shared" si="0"/>
        <v>24234</v>
      </c>
      <c r="I5" s="952"/>
    </row>
    <row r="6" spans="1:9" ht="14.25">
      <c r="A6" s="922" t="s">
        <v>82</v>
      </c>
      <c r="B6" s="916">
        <v>21651</v>
      </c>
      <c r="C6" s="917">
        <v>8931</v>
      </c>
      <c r="D6" s="918">
        <v>12720</v>
      </c>
      <c r="E6" s="919">
        <f t="shared" si="0"/>
        <v>21651</v>
      </c>
      <c r="I6" s="952"/>
    </row>
    <row r="7" spans="1:9" ht="14.25">
      <c r="A7" s="922" t="s">
        <v>83</v>
      </c>
      <c r="B7" s="916">
        <v>93884</v>
      </c>
      <c r="C7" s="917">
        <v>74884</v>
      </c>
      <c r="D7" s="918">
        <v>19000</v>
      </c>
      <c r="E7" s="919">
        <f t="shared" si="0"/>
        <v>93884</v>
      </c>
      <c r="I7" s="952"/>
    </row>
    <row r="8" spans="1:9" ht="14.25">
      <c r="A8" s="915" t="s">
        <v>84</v>
      </c>
      <c r="B8" s="920">
        <v>49763</v>
      </c>
      <c r="C8" s="917">
        <v>21814</v>
      </c>
      <c r="D8" s="918">
        <v>27949</v>
      </c>
      <c r="E8" s="921">
        <f t="shared" si="0"/>
        <v>49763</v>
      </c>
      <c r="I8" s="952"/>
    </row>
    <row r="9" spans="1:9" ht="14.25">
      <c r="A9" s="915" t="s">
        <v>85</v>
      </c>
      <c r="B9" s="920">
        <v>9387</v>
      </c>
      <c r="C9" s="917">
        <v>0</v>
      </c>
      <c r="D9" s="918">
        <v>9387</v>
      </c>
      <c r="E9" s="921">
        <f t="shared" si="0"/>
        <v>9387</v>
      </c>
      <c r="I9" s="952"/>
    </row>
    <row r="10" spans="1:9" ht="14.25">
      <c r="A10" s="915" t="s">
        <v>86</v>
      </c>
      <c r="B10" s="920">
        <v>20188</v>
      </c>
      <c r="C10" s="923">
        <v>18688</v>
      </c>
      <c r="D10" s="924">
        <v>1500</v>
      </c>
      <c r="E10" s="921">
        <f t="shared" si="0"/>
        <v>20188</v>
      </c>
      <c r="I10" s="952"/>
    </row>
    <row r="11" spans="1:9" ht="14.25">
      <c r="A11" s="922" t="s">
        <v>87</v>
      </c>
      <c r="B11" s="916">
        <v>16402</v>
      </c>
      <c r="C11" s="917">
        <v>11252</v>
      </c>
      <c r="D11" s="918">
        <v>5150</v>
      </c>
      <c r="E11" s="919">
        <f t="shared" si="0"/>
        <v>16402</v>
      </c>
      <c r="I11" s="952"/>
    </row>
    <row r="12" spans="1:9" ht="14.25">
      <c r="A12" s="915" t="s">
        <v>88</v>
      </c>
      <c r="B12" s="920">
        <v>13196</v>
      </c>
      <c r="C12" s="925">
        <v>10456</v>
      </c>
      <c r="D12" s="926">
        <v>2740</v>
      </c>
      <c r="E12" s="921">
        <f t="shared" si="0"/>
        <v>13196</v>
      </c>
      <c r="I12" s="952"/>
    </row>
    <row r="13" spans="1:9" ht="14.25">
      <c r="A13" s="915" t="s">
        <v>89</v>
      </c>
      <c r="B13" s="916">
        <v>65642</v>
      </c>
      <c r="C13" s="917">
        <v>41826</v>
      </c>
      <c r="D13" s="918">
        <v>23816</v>
      </c>
      <c r="E13" s="919">
        <f t="shared" si="0"/>
        <v>65642</v>
      </c>
      <c r="I13" s="952"/>
    </row>
    <row r="14" spans="1:9" ht="14.25">
      <c r="A14" s="915" t="s">
        <v>90</v>
      </c>
      <c r="B14" s="920">
        <v>14449</v>
      </c>
      <c r="C14" s="917">
        <v>12149</v>
      </c>
      <c r="D14" s="918">
        <v>2300</v>
      </c>
      <c r="E14" s="921">
        <f t="shared" si="0"/>
        <v>14449</v>
      </c>
      <c r="I14" s="952"/>
    </row>
    <row r="15" spans="1:9" ht="14.25">
      <c r="A15" s="915" t="s">
        <v>91</v>
      </c>
      <c r="B15" s="920">
        <v>32171</v>
      </c>
      <c r="C15" s="925">
        <v>23171</v>
      </c>
      <c r="D15" s="926">
        <v>9000</v>
      </c>
      <c r="E15" s="921">
        <f t="shared" si="0"/>
        <v>32171</v>
      </c>
      <c r="I15" s="952"/>
    </row>
    <row r="16" spans="1:9" ht="14.25">
      <c r="A16" s="922" t="s">
        <v>92</v>
      </c>
      <c r="B16" s="916">
        <v>20126</v>
      </c>
      <c r="C16" s="917">
        <v>10338</v>
      </c>
      <c r="D16" s="918">
        <v>9788</v>
      </c>
      <c r="E16" s="919">
        <f t="shared" si="0"/>
        <v>20126</v>
      </c>
      <c r="I16" s="952"/>
    </row>
    <row r="17" spans="1:9" ht="14.25">
      <c r="A17" s="915" t="s">
        <v>93</v>
      </c>
      <c r="B17" s="920">
        <v>22177</v>
      </c>
      <c r="C17" s="917">
        <v>2100</v>
      </c>
      <c r="D17" s="918">
        <v>20077</v>
      </c>
      <c r="E17" s="921">
        <f t="shared" si="0"/>
        <v>22177</v>
      </c>
      <c r="I17" s="952"/>
    </row>
    <row r="18" spans="1:9" ht="14.25">
      <c r="A18" s="915" t="s">
        <v>94</v>
      </c>
      <c r="B18" s="920">
        <v>51116</v>
      </c>
      <c r="C18" s="917">
        <v>50616</v>
      </c>
      <c r="D18" s="918">
        <v>500</v>
      </c>
      <c r="E18" s="921">
        <f t="shared" si="0"/>
        <v>51116</v>
      </c>
      <c r="I18" s="952"/>
    </row>
    <row r="19" spans="1:9" ht="14.25">
      <c r="A19" s="922" t="s">
        <v>95</v>
      </c>
      <c r="B19" s="916">
        <v>43523</v>
      </c>
      <c r="C19" s="917">
        <v>26962</v>
      </c>
      <c r="D19" s="918">
        <v>16561</v>
      </c>
      <c r="E19" s="919">
        <f t="shared" si="0"/>
        <v>43523</v>
      </c>
      <c r="I19" s="952"/>
    </row>
    <row r="20" spans="1:10" ht="14.25">
      <c r="A20" s="922" t="s">
        <v>96</v>
      </c>
      <c r="B20" s="916">
        <v>23841</v>
      </c>
      <c r="C20" s="917">
        <v>15531</v>
      </c>
      <c r="D20" s="918">
        <v>8310</v>
      </c>
      <c r="E20" s="919">
        <f t="shared" si="0"/>
        <v>23841</v>
      </c>
      <c r="I20" s="952"/>
      <c r="J20" s="953"/>
    </row>
    <row r="21" spans="1:9" ht="14.25">
      <c r="A21" s="915" t="s">
        <v>97</v>
      </c>
      <c r="B21" s="920">
        <v>35624</v>
      </c>
      <c r="C21" s="917">
        <v>31724</v>
      </c>
      <c r="D21" s="918">
        <v>3900</v>
      </c>
      <c r="E21" s="921">
        <f t="shared" si="0"/>
        <v>35624</v>
      </c>
      <c r="I21" s="952"/>
    </row>
    <row r="22" spans="1:9" ht="14.25">
      <c r="A22" s="915" t="s">
        <v>98</v>
      </c>
      <c r="B22" s="920">
        <v>41088</v>
      </c>
      <c r="C22" s="917">
        <v>25168</v>
      </c>
      <c r="D22" s="918">
        <v>15920</v>
      </c>
      <c r="E22" s="921">
        <f t="shared" si="0"/>
        <v>41088</v>
      </c>
      <c r="I22" s="952"/>
    </row>
    <row r="23" spans="1:9" ht="14.25">
      <c r="A23" s="915" t="s">
        <v>99</v>
      </c>
      <c r="B23" s="920">
        <v>24207</v>
      </c>
      <c r="C23" s="917">
        <v>8847</v>
      </c>
      <c r="D23" s="918">
        <v>15360</v>
      </c>
      <c r="E23" s="921">
        <f t="shared" si="0"/>
        <v>24207</v>
      </c>
      <c r="I23" s="952"/>
    </row>
    <row r="24" spans="1:9" ht="14.25">
      <c r="A24" s="915" t="s">
        <v>100</v>
      </c>
      <c r="B24" s="920">
        <v>11069</v>
      </c>
      <c r="C24" s="917">
        <v>8710</v>
      </c>
      <c r="D24" s="918">
        <v>2359</v>
      </c>
      <c r="E24" s="921">
        <f t="shared" si="0"/>
        <v>11069</v>
      </c>
      <c r="I24" s="952"/>
    </row>
    <row r="25" spans="1:9" ht="14.25">
      <c r="A25" s="915" t="s">
        <v>101</v>
      </c>
      <c r="B25" s="916">
        <v>2507</v>
      </c>
      <c r="C25" s="917">
        <v>2507</v>
      </c>
      <c r="D25" s="918">
        <v>0</v>
      </c>
      <c r="E25" s="919">
        <f t="shared" si="0"/>
        <v>2507</v>
      </c>
      <c r="I25" s="952"/>
    </row>
    <row r="26" spans="1:9" ht="14.25">
      <c r="A26" s="915" t="s">
        <v>102</v>
      </c>
      <c r="B26" s="920">
        <v>3449</v>
      </c>
      <c r="C26" s="917">
        <v>3089</v>
      </c>
      <c r="D26" s="918">
        <v>360</v>
      </c>
      <c r="E26" s="921">
        <f t="shared" si="0"/>
        <v>3449</v>
      </c>
      <c r="I26" s="952"/>
    </row>
    <row r="27" spans="1:9" ht="14.25">
      <c r="A27" s="915" t="s">
        <v>103</v>
      </c>
      <c r="B27" s="916">
        <v>5144</v>
      </c>
      <c r="C27" s="917">
        <v>3794</v>
      </c>
      <c r="D27" s="918">
        <v>1350</v>
      </c>
      <c r="E27" s="919">
        <f t="shared" si="0"/>
        <v>5144</v>
      </c>
      <c r="I27" s="952"/>
    </row>
    <row r="28" spans="1:9" ht="14.25">
      <c r="A28" s="915" t="s">
        <v>104</v>
      </c>
      <c r="B28" s="920">
        <v>4781</v>
      </c>
      <c r="C28" s="925">
        <v>4231</v>
      </c>
      <c r="D28" s="926">
        <v>550</v>
      </c>
      <c r="E28" s="921">
        <f t="shared" si="0"/>
        <v>4781</v>
      </c>
      <c r="I28" s="952"/>
    </row>
    <row r="29" spans="1:9" ht="15" thickBot="1">
      <c r="A29" s="927" t="s">
        <v>105</v>
      </c>
      <c r="B29" s="938">
        <v>3684</v>
      </c>
      <c r="C29" s="939">
        <v>1694</v>
      </c>
      <c r="D29" s="940">
        <v>1990</v>
      </c>
      <c r="E29" s="942">
        <f t="shared" si="0"/>
        <v>3684</v>
      </c>
      <c r="I29" s="952"/>
    </row>
    <row r="30" spans="1:5" ht="15" thickBot="1">
      <c r="A30" s="928" t="s">
        <v>381</v>
      </c>
      <c r="B30" s="929">
        <f>SUM(B4:B29)</f>
        <v>792299</v>
      </c>
      <c r="C30" s="930">
        <f>SUM(C4:C29)</f>
        <v>559205</v>
      </c>
      <c r="D30" s="931">
        <f>SUM(D4:D29)</f>
        <v>233094</v>
      </c>
      <c r="E30" s="932">
        <f>SUM(E4:E29)</f>
        <v>792299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sheetProtection/>
  <mergeCells count="1">
    <mergeCell ref="A1:F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 Lenka</dc:creator>
  <cp:keywords/>
  <dc:description/>
  <cp:lastModifiedBy>Santus Arnold</cp:lastModifiedBy>
  <cp:lastPrinted>2013-01-31T15:12:20Z</cp:lastPrinted>
  <dcterms:created xsi:type="dcterms:W3CDTF">2012-09-20T12:31:16Z</dcterms:created>
  <dcterms:modified xsi:type="dcterms:W3CDTF">2013-01-31T16:04:42Z</dcterms:modified>
  <cp:category/>
  <cp:version/>
  <cp:contentType/>
  <cp:contentStatus/>
</cp:coreProperties>
</file>