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2120" windowHeight="8430" activeTab="3"/>
  </bookViews>
  <sheets>
    <sheet name="T1" sheetId="1" r:id="rId1"/>
    <sheet name="T2" sheetId="2" r:id="rId2"/>
    <sheet name="T3" sheetId="3" r:id="rId3"/>
    <sheet name="T4" sheetId="4" r:id="rId4"/>
    <sheet name="T5" sheetId="5" r:id="rId5"/>
    <sheet name="T6" sheetId="6" r:id="rId6"/>
    <sheet name="T7" sheetId="7" r:id="rId7"/>
    <sheet name="T8" sheetId="8" r:id="rId8"/>
  </sheets>
  <definedNames>
    <definedName name="_xlnm.Print_Area" localSheetId="1">'T2'!$1:$65</definedName>
    <definedName name="_xlnm.Print_Area" localSheetId="5">'T6'!$A$1:$T$20</definedName>
  </definedNames>
  <calcPr fullCalcOnLoad="1"/>
</workbook>
</file>

<file path=xl/comments2.xml><?xml version="1.0" encoding="utf-8"?>
<comments xmlns="http://schemas.openxmlformats.org/spreadsheetml/2006/main">
  <authors>
    <author>Pospíšilová Lenka</author>
  </authors>
  <commentList>
    <comment ref="A6" authorId="0">
      <text>
        <r>
          <rPr>
            <b/>
            <sz val="8"/>
            <rFont val="Tahoma"/>
            <family val="2"/>
          </rPr>
          <t>Pospíšilová Lenka:</t>
        </r>
        <r>
          <rPr>
            <sz val="8"/>
            <rFont val="Tahoma"/>
            <family val="2"/>
          </rPr>
          <t xml:space="preserve">
</t>
        </r>
        <r>
          <rPr>
            <sz val="10"/>
            <rFont val="Tahoma"/>
            <family val="2"/>
          </rPr>
          <t>Podíl institucionální části rozpočtu a počtu normativních studentů; (A+K)/norm. počet studentů.</t>
        </r>
      </text>
    </comment>
    <comment ref="J6" authorId="0">
      <text>
        <r>
          <rPr>
            <b/>
            <sz val="10"/>
            <rFont val="Tahoma"/>
            <family val="2"/>
          </rPr>
          <t>Pospíšilová Lenka:</t>
        </r>
        <r>
          <rPr>
            <sz val="10"/>
            <rFont val="Tahoma"/>
            <family val="2"/>
          </rPr>
          <t xml:space="preserve">
Výpočtové stipendium pro 1 studenta doktorského studijního programu (rok 2008 i r. 2009 88775 Kč, v roce 2010 zvýšení o 5,2% na 93 380 Kč)</t>
        </r>
      </text>
    </comment>
    <comment ref="A7" authorId="0">
      <text>
        <r>
          <rPr>
            <b/>
            <sz val="8"/>
            <rFont val="Tahoma"/>
            <family val="2"/>
          </rPr>
          <t>Pospíšilová Lenka:</t>
        </r>
        <r>
          <rPr>
            <sz val="8"/>
            <rFont val="Tahoma"/>
            <family val="2"/>
          </rPr>
          <t xml:space="preserve">
</t>
        </r>
        <r>
          <rPr>
            <sz val="10"/>
            <rFont val="Tahoma"/>
            <family val="2"/>
          </rPr>
          <t>Podíl části rozpočtu v ukazateli A a normativního počtu studentů.</t>
        </r>
      </text>
    </comment>
    <comment ref="J7" authorId="0">
      <text>
        <r>
          <rPr>
            <b/>
            <sz val="10"/>
            <rFont val="Tahoma"/>
            <family val="2"/>
          </rPr>
          <t>Pospíšilová Lenka:</t>
        </r>
        <r>
          <rPr>
            <sz val="10"/>
            <rFont val="Tahoma"/>
            <family val="2"/>
          </rPr>
          <t xml:space="preserve">
(r. 2006 - 6395 Kč, r.2007 - 6500 Kč, r. 2008 - 6500 Kč, r. 2009 - 6500 Kč)</t>
        </r>
      </text>
    </comment>
    <comment ref="J8" authorId="0">
      <text>
        <r>
          <rPr>
            <b/>
            <sz val="8"/>
            <rFont val="Tahoma"/>
            <family val="2"/>
          </rPr>
          <t>Pospíšilová Lenka:</t>
        </r>
        <r>
          <rPr>
            <sz val="8"/>
            <rFont val="Tahoma"/>
            <family val="2"/>
          </rPr>
          <t xml:space="preserve">
</t>
        </r>
        <r>
          <rPr>
            <sz val="10"/>
            <rFont val="Tahoma"/>
            <family val="2"/>
          </rPr>
          <t>(§91 odst. 3 zákona č. 111/1998 Sb., o vysokých školách), přiznává se na 10 měs. v roce</t>
        </r>
      </text>
    </comment>
    <comment ref="J9" authorId="0">
      <text>
        <r>
          <rPr>
            <b/>
            <sz val="8"/>
            <rFont val="Tahoma"/>
            <family val="2"/>
          </rPr>
          <t>Pospíšilová Lenka:</t>
        </r>
        <r>
          <rPr>
            <sz val="8"/>
            <rFont val="Tahoma"/>
            <family val="2"/>
          </rPr>
          <t xml:space="preserve">
</t>
        </r>
        <r>
          <rPr>
            <sz val="10"/>
            <rFont val="Tahoma"/>
            <family val="2"/>
          </rPr>
          <t xml:space="preserve"> (r. 2007, r. 2008 i r. 2009 - 23 Kč)</t>
        </r>
      </text>
    </comment>
    <comment ref="H56" authorId="0">
      <text>
        <r>
          <rPr>
            <b/>
            <sz val="8"/>
            <rFont val="Tahoma"/>
            <family val="2"/>
          </rPr>
          <t>Pospíšilová Lenka:</t>
        </r>
        <r>
          <rPr>
            <sz val="8"/>
            <rFont val="Tahoma"/>
            <family val="2"/>
          </rPr>
          <t xml:space="preserve">
</t>
        </r>
        <r>
          <rPr>
            <sz val="10"/>
            <rFont val="Tahoma"/>
            <family val="2"/>
          </rPr>
          <t>nove VVŠ - 25 mil. Kč
neslyšící - 2 mil. Kč
ostatní - 15 mil. Kč</t>
        </r>
      </text>
    </comment>
    <comment ref="I57" authorId="0">
      <text>
        <r>
          <rPr>
            <b/>
            <sz val="8"/>
            <rFont val="Tahoma"/>
            <family val="2"/>
          </rPr>
          <t>Pospíšilová Lenka:</t>
        </r>
        <r>
          <rPr>
            <sz val="8"/>
            <rFont val="Tahoma"/>
            <family val="2"/>
          </rPr>
          <t xml:space="preserve">
</t>
        </r>
        <r>
          <rPr>
            <sz val="10"/>
            <rFont val="Tahoma"/>
            <family val="2"/>
          </rPr>
          <t>podpora tvůrčích činností - 40 mil. Kč</t>
        </r>
      </text>
    </comment>
  </commentList>
</comments>
</file>

<file path=xl/sharedStrings.xml><?xml version="1.0" encoding="utf-8"?>
<sst xmlns="http://schemas.openxmlformats.org/spreadsheetml/2006/main" count="747" uniqueCount="331">
  <si>
    <t>CELKEM</t>
  </si>
  <si>
    <t>(údaje v tis. Kč mimo počtu zaměstnanců)</t>
  </si>
  <si>
    <t>vlivy</t>
  </si>
  <si>
    <t>S O U H R N N É    U K A Z A T E L E</t>
  </si>
  <si>
    <t>SPECIFICKÉ UKAZATELE -  VÝDAJE CELKEM</t>
  </si>
  <si>
    <t>PRŮŘEZOVÉ UKAZATELE</t>
  </si>
  <si>
    <t xml:space="preserve">pro </t>
  </si>
  <si>
    <t>Kapitola 333 - MŠMT</t>
  </si>
  <si>
    <t>Schválený</t>
  </si>
  <si>
    <t>rozpočet</t>
  </si>
  <si>
    <t>Schv. rozpočet</t>
  </si>
  <si>
    <t>Vlivy</t>
  </si>
  <si>
    <t>3.</t>
  </si>
  <si>
    <t>(nezahrnuje dotace na programy reprodukce majetku; prostředky určené na programy spolufinancované s EU jsou na konci tabulky odečteny)</t>
  </si>
  <si>
    <t>Srovnatelná</t>
  </si>
  <si>
    <t xml:space="preserve">1. </t>
  </si>
  <si>
    <t>základna</t>
  </si>
  <si>
    <t>roku</t>
  </si>
  <si>
    <t>základnu</t>
  </si>
  <si>
    <t>převody na akce EDS/SMVS pro rok 2014</t>
  </si>
  <si>
    <t>přesun z VŠ do EHP/Norsko</t>
  </si>
  <si>
    <t>přesun ve prospěch OP VpK</t>
  </si>
  <si>
    <t>převody z EDS/SMVS do BV na VŠ</t>
  </si>
  <si>
    <t>k 1.1.2013</t>
  </si>
  <si>
    <t xml:space="preserve">2. </t>
  </si>
  <si>
    <t>4.</t>
  </si>
  <si>
    <t>oproti r. 2013</t>
  </si>
  <si>
    <t xml:space="preserve">  Výdaje celkem</t>
  </si>
  <si>
    <t xml:space="preserve">  Vysoké školy</t>
  </si>
  <si>
    <t xml:space="preserve">  Výdaje vedené v informačním systému programového financování EDS/SMVS celkem</t>
  </si>
  <si>
    <t>Rozpočet vysokých škol na rok 2014</t>
  </si>
  <si>
    <t>Položka</t>
  </si>
  <si>
    <t>Rok 2011</t>
  </si>
  <si>
    <t>Rok 2012</t>
  </si>
  <si>
    <t>Rok 2013</t>
  </si>
  <si>
    <t>Rok 2014</t>
  </si>
  <si>
    <t>meziroční změna</t>
  </si>
  <si>
    <t>Průměrný normativ</t>
  </si>
  <si>
    <t>Výpočtové stipendium v doktorském studiu</t>
  </si>
  <si>
    <t>Základní normativ</t>
  </si>
  <si>
    <t xml:space="preserve">Výpočtové ubytovací stipendium na 1 studenta </t>
  </si>
  <si>
    <t xml:space="preserve">Normativ absolventa </t>
  </si>
  <si>
    <t>x</t>
  </si>
  <si>
    <t>Měsíční sociální stipendium</t>
  </si>
  <si>
    <t>Výpočtová dotace na 1  jídlo</t>
  </si>
  <si>
    <t>Příspěvek *)</t>
  </si>
  <si>
    <t>Dotace *)</t>
  </si>
  <si>
    <t>Název ukazatele / položky</t>
  </si>
  <si>
    <r>
      <t xml:space="preserve">Rozpočet 2011 
</t>
    </r>
    <r>
      <rPr>
        <sz val="11"/>
        <rFont val="Arial"/>
        <family val="2"/>
      </rPr>
      <t>(+ 1000 mil. Kč)</t>
    </r>
  </si>
  <si>
    <t>Rozpočet 2012</t>
  </si>
  <si>
    <t>Rozpočet 2013</t>
  </si>
  <si>
    <t>Rozpočet 2014</t>
  </si>
  <si>
    <t>Rozpočtový okruh 1, institucionální část rozpočtu</t>
  </si>
  <si>
    <t>P</t>
  </si>
  <si>
    <t>Ukazatel A+B1 - studijní programy</t>
  </si>
  <si>
    <t xml:space="preserve">Ukazatel B 2 - studijní programy, bonifikace za absolventy B,M,N,P </t>
  </si>
  <si>
    <t>Ukazatel K (dříve B3) - kvalita a výkon</t>
  </si>
  <si>
    <t>Celkem normativní část rozpočtu</t>
  </si>
  <si>
    <t>Rozpočtový okruh II, Sociální záležitosti studentů</t>
  </si>
  <si>
    <t>Ukazatel C - stipendia pro studenty doktorských stud. prog.</t>
  </si>
  <si>
    <t>D</t>
  </si>
  <si>
    <t>Ukazatel J - dotace na ubytování a stravování studentů</t>
  </si>
  <si>
    <t>Ukazatel S1 - příspěvek na sociální stipendia VVŠ</t>
  </si>
  <si>
    <t>Ukazatel S2 - dotace na sociální stipendia SVŠ</t>
  </si>
  <si>
    <t>Ukazatel U1- příspěvek na ubytovací stipendia VVŠ</t>
  </si>
  <si>
    <t>Ukazatel U2 - dotace na ubytovací stipendia SVŠ</t>
  </si>
  <si>
    <t>Celkem sociální záležitosti studentů</t>
  </si>
  <si>
    <t>Rozpočtový okruh III, Rozvoj vysokých škol</t>
  </si>
  <si>
    <t>Ukazatel G - fond rozvoje vysokých škol</t>
  </si>
  <si>
    <t xml:space="preserve">Ukazatel I - rozvojové programy </t>
  </si>
  <si>
    <t>v tom</t>
  </si>
  <si>
    <t>Institucionální plány (dříve decentralizované)</t>
  </si>
  <si>
    <t>Centralizované rozvojové projekty</t>
  </si>
  <si>
    <t>Celkem rozvoj vysokých škol</t>
  </si>
  <si>
    <t>Rozpočtový okruh IV, Mezinárodní spolupráce a ostatní</t>
  </si>
  <si>
    <t>Ukazatel D - mezinárodní spolupráce</t>
  </si>
  <si>
    <t>V tom:</t>
  </si>
  <si>
    <t>AKCION</t>
  </si>
  <si>
    <t>CEEPUS</t>
  </si>
  <si>
    <t>ERASMUS</t>
  </si>
  <si>
    <t>Letní školy slovanských studií</t>
  </si>
  <si>
    <t>Mezivládní dohody (zahraniční studenti)</t>
  </si>
  <si>
    <t>Mezivládní dohody (cestovní náhrady českých pedagogů, studentů)</t>
  </si>
  <si>
    <t>Zahraniční rozvojová pomoc</t>
  </si>
  <si>
    <t>Krajanský vzdělávací program</t>
  </si>
  <si>
    <t>Ukazatel F - Fond vzdělávací politiky</t>
  </si>
  <si>
    <t>Systémová podpora VŠ</t>
  </si>
  <si>
    <t>Studium studentů se specifickými potřebami</t>
  </si>
  <si>
    <t>Univerzita třetího věku (U3V)</t>
  </si>
  <si>
    <t>Registr uměleckých výstupů (RUV)</t>
  </si>
  <si>
    <t>Podpora pedagogických fakult</t>
  </si>
  <si>
    <t>Soukromé VŠ</t>
  </si>
  <si>
    <t>Univerzita obrany</t>
  </si>
  <si>
    <t>další</t>
  </si>
  <si>
    <t>Mimořádné aktivity a ostatní</t>
  </si>
  <si>
    <t>Celkem Mezinárodní spolupráce a ostatní</t>
  </si>
  <si>
    <r>
      <t xml:space="preserve">Celkem příspěvek + dotace </t>
    </r>
  </si>
  <si>
    <t>Prostředky přidělené sekci 4 pro účely spolufinancování programu VaVpI</t>
  </si>
  <si>
    <t>Ukazatel rozpočtu vysokých škol</t>
  </si>
  <si>
    <t>Rozdíl</t>
  </si>
  <si>
    <t>*) V některých ukazatelích může být poskytnut příspěvek nebo dotace v závislosti na účelu, na který se poskytuje.</t>
  </si>
  <si>
    <t>Bilance zdrojů pro rozdělení příspěvku a dotací vysokým školám v roce 2014</t>
  </si>
  <si>
    <t>Výstup ze SIMS podle stavu k 31. 10. 2013</t>
  </si>
  <si>
    <t>v tis. Kč</t>
  </si>
  <si>
    <t>Kód VŠ</t>
  </si>
  <si>
    <t>Název VŠ</t>
  </si>
  <si>
    <t>Ukazatel A</t>
  </si>
  <si>
    <t>Ukazatel K</t>
  </si>
  <si>
    <t>Ukazatel C</t>
  </si>
  <si>
    <t>Ukazatel J</t>
  </si>
  <si>
    <t>Ukazatel U (VVŠ)</t>
  </si>
  <si>
    <t>Ukazatel F (U3V)</t>
  </si>
  <si>
    <t>Ukazatel F (SSP)</t>
  </si>
  <si>
    <r>
      <t xml:space="preserve">Ukazatel I (IRP) </t>
    </r>
    <r>
      <rPr>
        <sz val="8"/>
        <color indexed="8"/>
        <rFont val="Arial"/>
        <family val="2"/>
      </rPr>
      <t>(1)</t>
    </r>
  </si>
  <si>
    <t xml:space="preserve">UK </t>
  </si>
  <si>
    <t>JU</t>
  </si>
  <si>
    <t xml:space="preserve">UJEP </t>
  </si>
  <si>
    <t>MU</t>
  </si>
  <si>
    <t>UP</t>
  </si>
  <si>
    <t>VFU Brno</t>
  </si>
  <si>
    <t>OU</t>
  </si>
  <si>
    <t>UHK</t>
  </si>
  <si>
    <t>SU</t>
  </si>
  <si>
    <t>ČVUT</t>
  </si>
  <si>
    <t>VŠCHT Praha</t>
  </si>
  <si>
    <t>ZČU</t>
  </si>
  <si>
    <t>TUL</t>
  </si>
  <si>
    <t>UPa</t>
  </si>
  <si>
    <t>VUT v Brně</t>
  </si>
  <si>
    <t>VŠB-TUO</t>
  </si>
  <si>
    <t>UTB ve Zlíně</t>
  </si>
  <si>
    <t>VŠE</t>
  </si>
  <si>
    <t>ČZU v Praze</t>
  </si>
  <si>
    <t>MENDELU</t>
  </si>
  <si>
    <t>AMU v Praze</t>
  </si>
  <si>
    <t>AVU v Praze</t>
  </si>
  <si>
    <t>VŠUP v Praze</t>
  </si>
  <si>
    <t>JAMU</t>
  </si>
  <si>
    <t>VŠP Jihlava</t>
  </si>
  <si>
    <t>VŠTE</t>
  </si>
  <si>
    <t xml:space="preserve">     Celkem</t>
  </si>
  <si>
    <t>(1)</t>
  </si>
  <si>
    <t>Ukazatel I uvádí v tomto přehledu pouze alokace na institucionální plány v celkové výši 1 035 002 tis. Kč. Pro centralizované rozvojové projekty je na rok 2014 alokace ve výši 114 998 tis. Kč.</t>
  </si>
  <si>
    <t>Rozpis jednotlivých ukazatelů rozpočtu 2014 veřejným vysokým školám</t>
  </si>
  <si>
    <t>Poznámka:</t>
  </si>
  <si>
    <t>Data podle SIMS ke dni 31.10.2013</t>
  </si>
  <si>
    <t>Kategorie:</t>
  </si>
  <si>
    <t>B1</t>
  </si>
  <si>
    <t>bakalářská studia, první rok studia</t>
  </si>
  <si>
    <t>Počty přepočtených studentů magisterských studijních programů M5111 Zubní lékařství, P5104 Stomatologie, P5155 Stomatologie a zubní lékařství a P5165 Stomatologie, které nejsou limitovány, jsou uvedeny v samostatné tabulce dole.</t>
  </si>
  <si>
    <t>M1</t>
  </si>
  <si>
    <t>magisterská studia pěti až šestiletá první, rok studia</t>
  </si>
  <si>
    <t>N1</t>
  </si>
  <si>
    <t>Umělecké VVŠ jsou uvedeny v samostatné tabulce. Jejich výsledky a výsledky ostatních VVŠ jsou sečteny v tabulce "Všechny VVŠ".</t>
  </si>
  <si>
    <t>P1</t>
  </si>
  <si>
    <t>doktorská studia, první rok studia</t>
  </si>
  <si>
    <t>SP2+</t>
  </si>
  <si>
    <t>všechny typy studia, druhé a další roky studia</t>
  </si>
  <si>
    <t xml:space="preserve"> </t>
  </si>
  <si>
    <t>Kategorie</t>
  </si>
  <si>
    <t>Skutečný počet přepočt. studentů k 31. 10. 2013 bez stud. programů 5104, 5111 a 5155</t>
  </si>
  <si>
    <t>Výsledek projednání - akceptovaný/ dohodnutý počet pro rok 2014 bez stud. programů 5104, 5111 a 5155</t>
  </si>
  <si>
    <t xml:space="preserve">Započtený počet přepočtených studentů bez SP 5104, 5111 a 5155 </t>
  </si>
  <si>
    <t>Stud. programy 5104, 5111 a 5155 (viz tab. dole)</t>
  </si>
  <si>
    <t>Započtený přepočt. počet studentů vč. 5104, 5111 a 5155</t>
  </si>
  <si>
    <t>Průměrný koef. ekon. náročnosti ke sl. 5</t>
  </si>
  <si>
    <t>Počet normativních studentů ke sl. 5</t>
  </si>
  <si>
    <t>Počet normativních studentů programů 5104, 5111 a 5155 (viz tab. dole)</t>
  </si>
  <si>
    <t>Počet normativních studentů celkem</t>
  </si>
  <si>
    <t>Částka na jednu VVŠ v tis. Kč</t>
  </si>
  <si>
    <t>Počet nevyužitých míst do limitu</t>
  </si>
  <si>
    <t>Počet nadlimitních přepočt. studentů</t>
  </si>
  <si>
    <t>UK Praha</t>
  </si>
  <si>
    <t>SUMA: B1</t>
  </si>
  <si>
    <t>SUMA: M1</t>
  </si>
  <si>
    <t>SUMA: N1</t>
  </si>
  <si>
    <t>SUMA: P1</t>
  </si>
  <si>
    <t>SUMA: SP2+</t>
  </si>
  <si>
    <t>Celkem</t>
  </si>
  <si>
    <t>JU České Budějovice</t>
  </si>
  <si>
    <t>JU Č.B.</t>
  </si>
  <si>
    <t>UJEP Ústí nad Labem</t>
  </si>
  <si>
    <t>UJEP Ústí n.L.</t>
  </si>
  <si>
    <t>MU Brno</t>
  </si>
  <si>
    <t>UP Olomouc</t>
  </si>
  <si>
    <t>OU Ostrava</t>
  </si>
  <si>
    <t>Univerzita Hradec Králové</t>
  </si>
  <si>
    <t>Univerzita Hr. Král.</t>
  </si>
  <si>
    <t>SU Opava</t>
  </si>
  <si>
    <t>ČVUT Praha</t>
  </si>
  <si>
    <t>ZČU Plzeň</t>
  </si>
  <si>
    <t>TU Liberec</t>
  </si>
  <si>
    <t>UPa Pardubice</t>
  </si>
  <si>
    <t>VUT Brno</t>
  </si>
  <si>
    <t>VŠB-TU Ostrava</t>
  </si>
  <si>
    <t>UTB Zlín</t>
  </si>
  <si>
    <t>VŠE Praha</t>
  </si>
  <si>
    <t>ČZU Praha</t>
  </si>
  <si>
    <t>Mendelu Brno</t>
  </si>
  <si>
    <t>VŠ polytech. Jihlava</t>
  </si>
  <si>
    <t>VŠTE Č. Budějovice</t>
  </si>
  <si>
    <t>VŠTE Č. B.</t>
  </si>
  <si>
    <t>Souhrn</t>
  </si>
  <si>
    <t>Celkem počet norm. stud.</t>
  </si>
  <si>
    <t>Základní normativ (Kč)</t>
  </si>
  <si>
    <t>A  (tis. Kč) =</t>
  </si>
  <si>
    <t>Celková výpočtová částka před zaokrouhlením (tis. Kč)</t>
  </si>
  <si>
    <t>Umělecké VVŠ</t>
  </si>
  <si>
    <t xml:space="preserve">Souhrnný limit pro umělecké VVŠ na rok 2014 je 2740 přepočtených studentů. Skutečnost je 2604,5 přepočtených studentů, což je 95,1 %. </t>
  </si>
  <si>
    <t>Každá z těchto VVŠ je přepočteným počtem studentů uvnitř intervalu +- 10% limitu, proto se každé z nich započte limit.</t>
  </si>
  <si>
    <t xml:space="preserve">Skutečný počet přepočt. studentů k 31. 10. 2013 </t>
  </si>
  <si>
    <t>Výsledek projednání - akceptovaný/ dohodnutý počet pro rok 2013 (limit)</t>
  </si>
  <si>
    <t>Ověření odchylky - skut. počet od limitu</t>
  </si>
  <si>
    <t>Dohodnutý podíl jedné VŠ na celku</t>
  </si>
  <si>
    <t>Průměrný koeficient ekonomické náročnosti</t>
  </si>
  <si>
    <t>Normativní počet studentů</t>
  </si>
  <si>
    <t>AMU Praha</t>
  </si>
  <si>
    <t>AVU Praha</t>
  </si>
  <si>
    <t>JAMU Brno</t>
  </si>
  <si>
    <t>Celková výpočtová částka před zaokrouhlením</t>
  </si>
  <si>
    <t>Všechny VVŠ</t>
  </si>
  <si>
    <t>Souhrnné údaje</t>
  </si>
  <si>
    <t>Rozdělení částky pro umělecké a neumělecké VVŠ</t>
  </si>
  <si>
    <t>Přepočtený počet studentů (včetně zubařů)</t>
  </si>
  <si>
    <t>Přepočtený počet - zubařů (stud.progr.M5104, M5111 a 5155)</t>
  </si>
  <si>
    <t>Částka pro A = 77,5% z A+K</t>
  </si>
  <si>
    <t>Přepočtený počet studentů uměleckých VVŠ</t>
  </si>
  <si>
    <t>UVVŠ celkem 3,5% z A</t>
  </si>
  <si>
    <t>Počet přepočtených studentů zahrnutých do výpočtu</t>
  </si>
  <si>
    <t>Neumělecké VVŠ</t>
  </si>
  <si>
    <t>Meziroční nárůst přepočtených studentů zahrnutých do výpočtu</t>
  </si>
  <si>
    <t>Kontrola</t>
  </si>
  <si>
    <t>Počet normativních studentů</t>
  </si>
  <si>
    <t>Průměrný koeficient ekonomické náročnosti (vč. uměleckých VVŠ)</t>
  </si>
  <si>
    <t>Limity celkem</t>
  </si>
  <si>
    <t>Ukazatel A+K</t>
  </si>
  <si>
    <t>Základní normativ (ukaz. A ku počtu normativních studentů)</t>
  </si>
  <si>
    <t>Průměrný normativ (ukaz. A+K ku počtu normativních studentů)</t>
  </si>
  <si>
    <t>Studijní programy 5104 Stomatologie, 5111 Zubní lékařství a 5155 Stomatologie a zubní lékařství</t>
  </si>
  <si>
    <t>Kód fakulty</t>
  </si>
  <si>
    <t>Název fakulty</t>
  </si>
  <si>
    <t>Stud. program</t>
  </si>
  <si>
    <t>Koeficient</t>
  </si>
  <si>
    <t>Nově přijatí</t>
  </si>
  <si>
    <t>Zvláštní</t>
  </si>
  <si>
    <t>Ostatní</t>
  </si>
  <si>
    <t>Půlroční</t>
  </si>
  <si>
    <t>Přepočtený počet studentů</t>
  </si>
  <si>
    <t>UK v Praze</t>
  </si>
  <si>
    <t>UP v Olomouci</t>
  </si>
  <si>
    <t>Ukazatel A, výpočet na rok 2014</t>
  </si>
  <si>
    <t xml:space="preserve">Metodika: Pravidla pro poskytování příspěvku a dotací veřejným vysokým školám Ministerstvem školství, mládeže a tělovýchovy </t>
  </si>
  <si>
    <t>Veřejné vysoké školy</t>
  </si>
  <si>
    <t>Vědecký a umělecký výkon vysoké školy</t>
  </si>
  <si>
    <t>Kvalita studijních programů a uplatnění absolventů</t>
  </si>
  <si>
    <t>Mezinárodní mobilita</t>
  </si>
  <si>
    <t>Podíl na K 
(v %)</t>
  </si>
  <si>
    <t>Podíl na K 
(v tis. Kč)</t>
  </si>
  <si>
    <r>
      <t xml:space="preserve">Započítané body RIV (absolutně) + </t>
    </r>
    <r>
      <rPr>
        <b/>
        <u val="single"/>
        <sz val="8"/>
        <rFont val="Arial"/>
        <family val="2"/>
      </rPr>
      <t>bez komp.</t>
    </r>
    <r>
      <rPr>
        <b/>
        <sz val="8"/>
        <rFont val="Arial"/>
        <family val="2"/>
      </rPr>
      <t xml:space="preserve"> pro uměl. VŠ</t>
    </r>
  </si>
  <si>
    <t>Započítané body RUV</t>
  </si>
  <si>
    <t>Účelové neinvestiční prostředky na výzkum</t>
  </si>
  <si>
    <t>Mezinárodní granty</t>
  </si>
  <si>
    <t>Příjmy z vlastní činnosti VVŠ</t>
  </si>
  <si>
    <t>Počet profesorů a docentů</t>
  </si>
  <si>
    <t>Zaměstnanost absolventů (absolutní)</t>
  </si>
  <si>
    <t>Cizinci v příslušném typu studijního programu</t>
  </si>
  <si>
    <t>„Samoplátci“ v příslušném typu studijního programu</t>
  </si>
  <si>
    <t>Vyslaní v rámci mobilitních programů 
(včetně ECTS a DS)</t>
  </si>
  <si>
    <t>Přijatí v rámci mobilitních programů 
(včetně ECTS a DS)</t>
  </si>
  <si>
    <t>Váhy parametrů</t>
  </si>
  <si>
    <t>VVŠ celkem</t>
  </si>
  <si>
    <t>Ukazatel K, výpočet na rok 2014</t>
  </si>
  <si>
    <t>K roku financování (data jsou spočtena vždy k 31.10. předchozího roku)</t>
  </si>
  <si>
    <t>2004 bez propado- vosti *)</t>
  </si>
  <si>
    <t>2009</t>
  </si>
  <si>
    <t>2010</t>
  </si>
  <si>
    <t>Fyzický počet studentů veřejných VŠ + soukromých VŠ  *)</t>
  </si>
  <si>
    <t>Meziroční změna v procentech</t>
  </si>
  <si>
    <t>Přepočtený ("financovaný") počet studentů VVŠ podle definice ukazatele A**)</t>
  </si>
  <si>
    <t>Meziroční nárůst financovaného počtu studentů v procentech</t>
  </si>
  <si>
    <t>*)</t>
  </si>
  <si>
    <t xml:space="preserve">Ve výstupu ze SIMS je student, studující souběžně více studií ve stejném typu studijního programu, zahrnut pouze jednou, pokud však studuje ve více studiích ve více typech studijních programů, </t>
  </si>
  <si>
    <t xml:space="preserve">může být zahrnut víckrát (max 3x). </t>
  </si>
  <si>
    <t xml:space="preserve">**)  </t>
  </si>
  <si>
    <t>V r. 2004 byla upravena definice "propadovosti". Tím se zvýšil počet přepočtených ("financovaných") studentů cca o 4784.</t>
  </si>
  <si>
    <t xml:space="preserve">Je započteno každé studium, které vyhovuje kritériím pro započtení podle Pravidel pro poskytování dotací (resp. příspěvků a dotací) vysokým školám. </t>
  </si>
  <si>
    <t xml:space="preserve">Kritéria se během let do jisté míry měnila (utvrzovala), zejm. v pohledu na financování "zvláštních" studentů. Kritéria v podstatě vycházejí z § 58 odst. 3 a 4 zákona </t>
  </si>
  <si>
    <t>č. 111/1998 Sb., o vysokých školách a o změně a doplnění dalších zákonů (zákon o vysokých školách), ve znění pozdějších předpisů.</t>
  </si>
  <si>
    <t xml:space="preserve">V r. 2009 nebylo započteno 9002, v r. 2010 14060, v r. 2011 17339, v roce 2012 15173 a v roce 2013  22344 přepočtených studentů, kteří překračovali limity akceptované ministerstvem v souladu s pravidly, </t>
  </si>
  <si>
    <t>dohodnutými pro příslušný rok s reprezentací veřejných VŠ. V této tabulce jsou uvedeny počty přepočtených studentů, kteří byli zahrnuti do výpočtu příspěvku podle ukaztele A.</t>
  </si>
  <si>
    <t>V letech 2010 - 2013 byli z ukazatele F rozpočtu vysokých škol hrazeni rovněž civilní studenti Univerzity obrany v souladu se zákonem o vysokých školách § 95 odst. 1.</t>
  </si>
  <si>
    <t>Počty fyzických studentů veřejných vysokých škol a soukromých vysokých škol a počty přepočtených ("financovaných") studentů VVŠ v letech 2000 až 2014</t>
  </si>
  <si>
    <t>Přehled prostředků poskytnutých vysokým školám v letech 2000-2014 z kapitoly 333 - MŠMT</t>
  </si>
  <si>
    <t>Komentáře</t>
  </si>
  <si>
    <t xml:space="preserve"> - údaje za roky 2000-2010 jsou převzaty ze závěrečného účtu kapitoly 333-MŠMT příslušných let, tabulka nezahrnuje prostředky poskytnuté z OP VK ani OP VaVpI</t>
  </si>
  <si>
    <t xml:space="preserve"> - převody do rezevního fondu za rok 2000-2004 jsou převzaty z databáze ARIS (sloupec 11), další ze závěrečného účtu</t>
  </si>
  <si>
    <t xml:space="preserve"> - stav k 31.12. příslušného roku.</t>
  </si>
  <si>
    <t>Rok</t>
  </si>
  <si>
    <t>Prostředky z kapitoly 333-MŠMT, poskytnuté vysokým školám (tis. Kč)</t>
  </si>
  <si>
    <t>Prostředky NIV i INV na vzdělávací činnost (pouze veřejné vysoké školy) bez programů reprodukce majetku</t>
  </si>
  <si>
    <t>Zahraniční rozvojová pomoc a ostatní dotace z kap. 333</t>
  </si>
  <si>
    <t>Programové financování INV i NIV</t>
  </si>
  <si>
    <t>Výzkum a vývoj (kapitálové i běžné výdaje)</t>
  </si>
  <si>
    <t>Meziroční růst výdajů na výzkum a vývoj</t>
  </si>
  <si>
    <t>Prostředky soukromým vysokým školám</t>
  </si>
  <si>
    <t xml:space="preserve">Meziroční nárůst prostředků z kap. 333-MŠMT </t>
  </si>
  <si>
    <r>
      <t>2013</t>
    </r>
    <r>
      <rPr>
        <sz val="8"/>
        <rFont val="Arial"/>
        <family val="2"/>
      </rPr>
      <t>(3)</t>
    </r>
  </si>
  <si>
    <r>
      <rPr>
        <sz val="8"/>
        <rFont val="Arial"/>
        <family val="2"/>
      </rPr>
      <t>(1)</t>
    </r>
    <r>
      <rPr>
        <sz val="10"/>
        <rFont val="Arial"/>
        <family val="2"/>
      </rPr>
      <t xml:space="preserve"> Skokové snížení částek od r. 2006 je způsobeno změnou podpory ubytování studentů. Od 1. 10. 2005 se místo dotace na provoz kolejí poskytuje ubytovací stipendium, které je zahrnuto do sloupce 2.</t>
    </r>
  </si>
  <si>
    <r>
      <rPr>
        <sz val="8"/>
        <rFont val="Arial"/>
        <family val="2"/>
      </rPr>
      <t>(2)</t>
    </r>
    <r>
      <rPr>
        <sz val="10"/>
        <rFont val="Arial"/>
        <family val="2"/>
      </rPr>
      <t xml:space="preserve"> Změnou zákona č. 218/2000 Sb., o rozpočtových pravidlech, ve znění pozdějších předpisů, se od r. 2008 netvoří "rezervní fond" ale "nároky z nespotřebovaných výdajů". Údaj ve sloupci 9 zahrnuje nároky z nespotřebovaných výdajů z rozpočtu VŠ, VaV a ISPROFIN.</t>
    </r>
  </si>
  <si>
    <r>
      <rPr>
        <sz val="8"/>
        <rFont val="Arial"/>
        <family val="2"/>
      </rPr>
      <t>(3)</t>
    </r>
    <r>
      <rPr>
        <sz val="10"/>
        <rFont val="Arial"/>
        <family val="2"/>
      </rPr>
      <t xml:space="preserve"> Údaje za rok 2013 jsou uvedeny ve stavu k 27. 1. 2014</t>
    </r>
  </si>
  <si>
    <t>Přehled rozpočtovaných prostředků pro vysoké školy v období let 2000-2014 z kapitoly 333 - MŠMT</t>
  </si>
  <si>
    <t>Schválený rozpočet</t>
  </si>
  <si>
    <t>Prostředky z kapitoly 333-MŠMT, rozpočtované pro vysoké školy (tis. Kč)</t>
  </si>
  <si>
    <t>Prostředky NIV i INV na vzdělávací činnost bez programů reprodukce majetku</t>
  </si>
  <si>
    <t>Prostředky na ubytování a stravování studentů</t>
  </si>
  <si>
    <t>Výzkum a vývoj, specific. VŠ výzkum</t>
  </si>
  <si>
    <t>Celkem kapitola 333-MŠMT</t>
  </si>
  <si>
    <t xml:space="preserve">Meziroční nárůst kap. 333-MŠMT </t>
  </si>
  <si>
    <t>Meziroční nárůst v %</t>
  </si>
  <si>
    <t>2010 *)</t>
  </si>
  <si>
    <t>*) Rozpočet po zvýšení o 800 mil. Kč podle usnesení vlády č. 54 ze dne 16. 1. 2010</t>
  </si>
  <si>
    <t xml:space="preserve">magisterská studia navazující na bakalářská studia, první rok </t>
  </si>
  <si>
    <t>studia</t>
  </si>
  <si>
    <t>Prostředky na ubytování a stravování studentů (1)</t>
  </si>
  <si>
    <t>Převody do rezervního fondu MŠMT (2)</t>
  </si>
  <si>
    <t>Celkem kapitola 333-MŠMT  bez rezervního fondu (2)</t>
  </si>
  <si>
    <r>
      <t xml:space="preserve">Poznámka: </t>
    </r>
    <r>
      <rPr>
        <sz val="10"/>
        <rFont val="Arial CE"/>
        <family val="0"/>
      </rPr>
      <t>údaje v tabulce za roky 2000 až 2004 jsou převzaty z rozpočtu i závěrečného účtu kapitoly 333-MŠMT, údaje let 2005 až 2014 jsou převzaty z rozpočtu kapitoly 333-MŠMT. Tabulka nezahrnuje prostředky operačních programů EU (OP VK, OP VaVpI).</t>
    </r>
  </si>
  <si>
    <r>
      <t xml:space="preserve">% podíl z celku </t>
    </r>
    <r>
      <rPr>
        <i/>
        <sz val="11"/>
        <rFont val="Arial"/>
        <family val="2"/>
      </rPr>
      <t>(sl. 3)</t>
    </r>
  </si>
  <si>
    <r>
      <t xml:space="preserve">Meziroční vývoj 
</t>
    </r>
    <r>
      <rPr>
        <i/>
        <sz val="11"/>
        <rFont val="Arial"/>
        <family val="2"/>
      </rPr>
      <t>(sl. 3 vs 2)</t>
    </r>
  </si>
  <si>
    <r>
      <t xml:space="preserve">% podíl z celku </t>
    </r>
    <r>
      <rPr>
        <i/>
        <sz val="11"/>
        <rFont val="Arial"/>
        <family val="2"/>
      </rPr>
      <t>(sl. 6)</t>
    </r>
  </si>
  <si>
    <r>
      <t xml:space="preserve">Meziroční vývoj 
</t>
    </r>
    <r>
      <rPr>
        <i/>
        <sz val="11"/>
        <rFont val="Arial"/>
        <family val="2"/>
      </rPr>
      <t>(sl. 6 vs 3)</t>
    </r>
  </si>
</sst>
</file>

<file path=xl/styles.xml><?xml version="1.0" encoding="utf-8"?>
<styleSheet xmlns="http://schemas.openxmlformats.org/spreadsheetml/2006/main">
  <numFmts count="5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
    <numFmt numFmtId="165" formatCode="#,##0.00;\-#,##0.00;\ \-"/>
    <numFmt numFmtId="166" formatCode="#,##0.000000"/>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00"/>
    <numFmt numFmtId="176" formatCode="#,##0.0"/>
    <numFmt numFmtId="177" formatCode="#,##0;\-#,##0;\ "/>
    <numFmt numFmtId="178" formatCode="dd/mm/yy;@"/>
    <numFmt numFmtId="179" formatCode="0.000"/>
    <numFmt numFmtId="180" formatCode="0.0"/>
    <numFmt numFmtId="181" formatCode="0.0000"/>
    <numFmt numFmtId="182" formatCode="#,##0.0000"/>
    <numFmt numFmtId="183" formatCode="#,##0.00000"/>
    <numFmt numFmtId="184" formatCode="&quot;Yes&quot;;&quot;Yes&quot;;&quot;No&quot;"/>
    <numFmt numFmtId="185" formatCode="&quot;True&quot;;&quot;True&quot;;&quot;False&quot;"/>
    <numFmt numFmtId="186" formatCode="&quot;On&quot;;&quot;On&quot;;&quot;Off&quot;"/>
    <numFmt numFmtId="187" formatCode="0.000000"/>
    <numFmt numFmtId="188" formatCode="0.00000"/>
    <numFmt numFmtId="189" formatCode="0.0000000"/>
    <numFmt numFmtId="190" formatCode="0.000%"/>
    <numFmt numFmtId="191" formatCode="0.0%"/>
    <numFmt numFmtId="192" formatCode="0.000000000"/>
    <numFmt numFmtId="193" formatCode="#,##0.00000000"/>
    <numFmt numFmtId="194" formatCode="#,##0.000000000000"/>
    <numFmt numFmtId="195" formatCode="0.000000000000"/>
    <numFmt numFmtId="196" formatCode="0.00000%"/>
    <numFmt numFmtId="197" formatCode="mmmm\ yy"/>
    <numFmt numFmtId="198" formatCode="mmmm\ yyyy"/>
    <numFmt numFmtId="199" formatCode="#,##0.0000000"/>
    <numFmt numFmtId="200" formatCode="0.0000000000"/>
    <numFmt numFmtId="201" formatCode="_-* #,##0.0\ &quot;Kč&quot;_-;\-* #,##0.0\ &quot;Kč&quot;_-;_-* &quot;-&quot;?\ &quot;Kč&quot;_-;_-@_-"/>
    <numFmt numFmtId="202" formatCode="#,##0\ &quot;Kč&quot;"/>
    <numFmt numFmtId="203" formatCode="#,##0.000\ &quot;Kč&quot;"/>
    <numFmt numFmtId="204" formatCode="#,##0.0000000000"/>
    <numFmt numFmtId="205" formatCode="#,##0.000000000"/>
    <numFmt numFmtId="206" formatCode="d/m/yyyy;@"/>
    <numFmt numFmtId="207" formatCode="#,##0.00\ &quot;Kč&quot;"/>
    <numFmt numFmtId="208" formatCode="#,##0_ ;[Red]\-#,##0\ ;\–\ "/>
    <numFmt numFmtId="209" formatCode="#,##0.0_ ;[Red]\-#,##0.0\ ;\–\ "/>
  </numFmts>
  <fonts count="100">
    <font>
      <sz val="10"/>
      <name val="Arial"/>
      <family val="0"/>
    </font>
    <font>
      <sz val="10"/>
      <name val="Arial CE"/>
      <family val="0"/>
    </font>
    <font>
      <u val="single"/>
      <sz val="7.5"/>
      <color indexed="12"/>
      <name val="Arial CE"/>
      <family val="0"/>
    </font>
    <font>
      <u val="single"/>
      <sz val="7.5"/>
      <color indexed="36"/>
      <name val="Arial CE"/>
      <family val="0"/>
    </font>
    <font>
      <sz val="8"/>
      <name val="Arial CE"/>
      <family val="0"/>
    </font>
    <font>
      <sz val="8"/>
      <name val="Arial"/>
      <family val="2"/>
    </font>
    <font>
      <sz val="11"/>
      <name val="Times New Roman CE"/>
      <family val="0"/>
    </font>
    <font>
      <sz val="11"/>
      <name val="Arial CE"/>
      <family val="2"/>
    </font>
    <font>
      <sz val="16"/>
      <name val="Arial CE"/>
      <family val="2"/>
    </font>
    <font>
      <b/>
      <sz val="25"/>
      <name val="Arial"/>
      <family val="2"/>
    </font>
    <font>
      <b/>
      <sz val="11"/>
      <name val="Arial"/>
      <family val="2"/>
    </font>
    <font>
      <sz val="11"/>
      <name val="Arial"/>
      <family val="2"/>
    </font>
    <font>
      <b/>
      <sz val="12"/>
      <name val="Arial"/>
      <family val="2"/>
    </font>
    <font>
      <sz val="18"/>
      <name val="Arial"/>
      <family val="2"/>
    </font>
    <font>
      <b/>
      <sz val="15"/>
      <name val="Arial"/>
      <family val="2"/>
    </font>
    <font>
      <b/>
      <sz val="20"/>
      <name val="Arial"/>
      <family val="2"/>
    </font>
    <font>
      <b/>
      <sz val="22"/>
      <name val="Arial"/>
      <family val="2"/>
    </font>
    <font>
      <b/>
      <sz val="28"/>
      <name val="Arial"/>
      <family val="2"/>
    </font>
    <font>
      <b/>
      <sz val="16"/>
      <name val="Arial CE"/>
      <family val="2"/>
    </font>
    <font>
      <b/>
      <sz val="18"/>
      <name val="Arial CE"/>
      <family val="2"/>
    </font>
    <font>
      <b/>
      <sz val="12"/>
      <name val="Arial CE"/>
      <family val="2"/>
    </font>
    <font>
      <sz val="11"/>
      <color indexed="8"/>
      <name val="Calibri"/>
      <family val="2"/>
    </font>
    <font>
      <sz val="10"/>
      <color indexed="8"/>
      <name val="Arial"/>
      <family val="2"/>
    </font>
    <font>
      <sz val="10"/>
      <name val="Verdana"/>
      <family val="2"/>
    </font>
    <font>
      <sz val="12"/>
      <name val="Arial"/>
      <family val="2"/>
    </font>
    <font>
      <i/>
      <sz val="11"/>
      <name val="Arial"/>
      <family val="2"/>
    </font>
    <font>
      <b/>
      <i/>
      <sz val="11"/>
      <name val="Arial"/>
      <family val="2"/>
    </font>
    <font>
      <b/>
      <i/>
      <sz val="12"/>
      <name val="Arial"/>
      <family val="2"/>
    </font>
    <font>
      <i/>
      <sz val="12"/>
      <name val="Arial"/>
      <family val="2"/>
    </font>
    <font>
      <b/>
      <u val="single"/>
      <sz val="18"/>
      <name val="Times New Roman"/>
      <family val="1"/>
    </font>
    <font>
      <b/>
      <sz val="8"/>
      <name val="Tahoma"/>
      <family val="2"/>
    </font>
    <font>
      <sz val="8"/>
      <name val="Tahoma"/>
      <family val="2"/>
    </font>
    <font>
      <sz val="10"/>
      <name val="Tahoma"/>
      <family val="2"/>
    </font>
    <font>
      <b/>
      <sz val="10"/>
      <name val="Tahoma"/>
      <family val="2"/>
    </font>
    <font>
      <b/>
      <sz val="10"/>
      <name val="Arial"/>
      <family val="2"/>
    </font>
    <font>
      <sz val="8"/>
      <color indexed="8"/>
      <name val="Arial"/>
      <family val="2"/>
    </font>
    <font>
      <b/>
      <sz val="12"/>
      <color indexed="60"/>
      <name val="Arial"/>
      <family val="2"/>
    </font>
    <font>
      <b/>
      <sz val="11"/>
      <color indexed="60"/>
      <name val="Arial"/>
      <family val="2"/>
    </font>
    <font>
      <b/>
      <i/>
      <sz val="10"/>
      <name val="Arial"/>
      <family val="2"/>
    </font>
    <font>
      <b/>
      <sz val="16"/>
      <name val="Arial"/>
      <family val="2"/>
    </font>
    <font>
      <b/>
      <sz val="14"/>
      <name val="Arial"/>
      <family val="2"/>
    </font>
    <font>
      <b/>
      <sz val="8"/>
      <name val="Arial"/>
      <family val="2"/>
    </font>
    <font>
      <b/>
      <sz val="9"/>
      <name val="Arial"/>
      <family val="2"/>
    </font>
    <font>
      <b/>
      <u val="single"/>
      <sz val="8"/>
      <name val="Arial"/>
      <family val="2"/>
    </font>
    <font>
      <sz val="9"/>
      <name val="Arial"/>
      <family val="2"/>
    </font>
    <font>
      <b/>
      <u val="single"/>
      <sz val="11"/>
      <name val="Arial CE"/>
      <family val="2"/>
    </font>
    <font>
      <b/>
      <u val="single"/>
      <sz val="12"/>
      <name val="Arial CE"/>
      <family val="2"/>
    </font>
    <font>
      <u val="single"/>
      <sz val="10"/>
      <name val="Arial CE"/>
      <family val="0"/>
    </font>
    <font>
      <sz val="7.5"/>
      <name val="Arial"/>
      <family val="2"/>
    </font>
    <font>
      <sz val="16"/>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Arial"/>
      <family val="2"/>
    </font>
    <font>
      <sz val="12"/>
      <color indexed="8"/>
      <name val="Arial"/>
      <family val="2"/>
    </font>
    <font>
      <sz val="10"/>
      <color indexed="10"/>
      <name val="Arial"/>
      <family val="2"/>
    </font>
    <font>
      <sz val="11"/>
      <color indexed="8"/>
      <name val="Arial"/>
      <family val="2"/>
    </font>
    <font>
      <b/>
      <sz val="11"/>
      <color indexed="8"/>
      <name val="Arial"/>
      <family val="2"/>
    </font>
    <font>
      <sz val="8"/>
      <color indexed="10"/>
      <name val="Arial"/>
      <family val="2"/>
    </font>
    <font>
      <b/>
      <sz val="8"/>
      <color indexed="10"/>
      <name val="Arial"/>
      <family val="2"/>
    </font>
    <font>
      <b/>
      <i/>
      <sz val="8"/>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Arial"/>
      <family val="2"/>
    </font>
    <font>
      <sz val="12"/>
      <color theme="1"/>
      <name val="Arial"/>
      <family val="2"/>
    </font>
    <font>
      <sz val="10"/>
      <color rgb="FFFF0000"/>
      <name val="Arial"/>
      <family val="2"/>
    </font>
    <font>
      <sz val="11"/>
      <color theme="1"/>
      <name val="Arial"/>
      <family val="2"/>
    </font>
    <font>
      <b/>
      <sz val="11"/>
      <color theme="1"/>
      <name val="Arial"/>
      <family val="2"/>
    </font>
    <font>
      <sz val="10"/>
      <color theme="1"/>
      <name val="Arial"/>
      <family val="2"/>
    </font>
    <font>
      <sz val="8"/>
      <color rgb="FFFF0000"/>
      <name val="Arial"/>
      <family val="2"/>
    </font>
    <font>
      <b/>
      <sz val="8"/>
      <color rgb="FFFF0000"/>
      <name val="Arial"/>
      <family val="2"/>
    </font>
    <font>
      <b/>
      <i/>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80"/>
        <bgColor indexed="64"/>
      </patternFill>
    </fill>
    <fill>
      <patternFill patternType="solid">
        <fgColor rgb="FFFFFFC0"/>
        <bgColor indexed="64"/>
      </patternFill>
    </fill>
    <fill>
      <patternFill patternType="solid">
        <fgColor indexed="13"/>
        <bgColor indexed="64"/>
      </patternFill>
    </fill>
    <fill>
      <patternFill patternType="solid">
        <fgColor indexed="51"/>
        <bgColor indexed="64"/>
      </patternFill>
    </fill>
    <fill>
      <patternFill patternType="solid">
        <fgColor rgb="FFFFFF00"/>
        <bgColor indexed="64"/>
      </patternFill>
    </fill>
    <fill>
      <patternFill patternType="solid">
        <fgColor indexed="22"/>
        <bgColor indexed="64"/>
      </patternFill>
    </fill>
    <fill>
      <patternFill patternType="solid">
        <fgColor rgb="FFCCFFFF"/>
        <bgColor indexed="64"/>
      </patternFill>
    </fill>
  </fills>
  <borders count="18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right style="medium"/>
      <top style="thin"/>
      <bottom style="thin"/>
    </border>
    <border>
      <left style="medium"/>
      <right style="medium"/>
      <top style="thin"/>
      <bottom style="thin"/>
    </border>
    <border>
      <left/>
      <right style="thin"/>
      <top style="thin"/>
      <bottom style="thin"/>
    </border>
    <border>
      <left style="thin"/>
      <right style="thin"/>
      <top style="thin"/>
      <bottom style="thin"/>
    </border>
    <border>
      <left style="medium"/>
      <right style="thin"/>
      <top style="thin"/>
      <bottom style="thin"/>
    </border>
    <border>
      <left style="thin"/>
      <right/>
      <top/>
      <bottom/>
    </border>
    <border>
      <left style="medium">
        <color indexed="63"/>
      </left>
      <right style="medium"/>
      <top style="thin"/>
      <bottom/>
    </border>
    <border>
      <left style="medium"/>
      <right style="medium"/>
      <top style="thin"/>
      <bottom>
        <color indexed="63"/>
      </bottom>
    </border>
    <border>
      <left/>
      <right style="thin"/>
      <top style="thin"/>
      <bottom/>
    </border>
    <border>
      <left style="thin"/>
      <right style="thin"/>
      <top style="thin"/>
      <bottom>
        <color indexed="63"/>
      </bottom>
    </border>
    <border>
      <left style="medium"/>
      <right style="thin"/>
      <top style="thin"/>
      <bottom/>
    </border>
    <border>
      <left style="medium">
        <color indexed="63"/>
      </left>
      <right style="medium"/>
      <top/>
      <bottom/>
    </border>
    <border>
      <left style="medium"/>
      <right style="medium"/>
      <top/>
      <bottom/>
    </border>
    <border>
      <left/>
      <right style="thin"/>
      <top/>
      <bottom/>
    </border>
    <border>
      <left style="thin"/>
      <right style="thin"/>
      <top>
        <color indexed="63"/>
      </top>
      <bottom>
        <color indexed="63"/>
      </bottom>
    </border>
    <border>
      <left style="medium"/>
      <right style="thin"/>
      <top/>
      <bottom/>
    </border>
    <border>
      <left style="thin"/>
      <right/>
      <top style="medium"/>
      <bottom style="thin"/>
    </border>
    <border>
      <left style="medium">
        <color indexed="63"/>
      </left>
      <right style="medium"/>
      <top style="medium"/>
      <bottom style="thin"/>
    </border>
    <border>
      <left style="medium"/>
      <right style="medium"/>
      <top style="medium"/>
      <bottom style="thin"/>
    </border>
    <border>
      <left/>
      <right style="thin"/>
      <top style="medium"/>
      <bottom style="thin"/>
    </border>
    <border>
      <left style="thin"/>
      <right style="thin"/>
      <top style="medium"/>
      <bottom style="thin"/>
    </border>
    <border>
      <left style="medium"/>
      <right style="thin"/>
      <top style="medium"/>
      <bottom style="thin"/>
    </border>
    <border>
      <left style="thin"/>
      <right/>
      <top style="thin"/>
      <bottom style="thin"/>
    </border>
    <border>
      <left style="medium">
        <color indexed="63"/>
      </left>
      <right style="medium"/>
      <top style="thin"/>
      <bottom style="thin"/>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medium"/>
      <bottom/>
    </border>
    <border>
      <left style="thin"/>
      <right/>
      <top style="medium"/>
      <bottom/>
    </border>
    <border>
      <left style="thin"/>
      <right style="medium"/>
      <top style="medium"/>
      <bottom/>
    </border>
    <border>
      <left style="thin"/>
      <right style="medium"/>
      <top/>
      <bottom style="thin"/>
    </border>
    <border>
      <left style="thin"/>
      <right style="medium"/>
      <top style="medium"/>
      <bottom style="thin"/>
    </border>
    <border>
      <left style="thin"/>
      <right style="thin"/>
      <top>
        <color indexed="63"/>
      </top>
      <bottom style="thin"/>
    </border>
    <border>
      <left style="thin"/>
      <right/>
      <top/>
      <bottom style="thin"/>
    </border>
    <border>
      <left style="thin"/>
      <right style="medium"/>
      <top style="thin"/>
      <bottom style="thin"/>
    </border>
    <border>
      <left style="thin"/>
      <right style="thin"/>
      <top style="thin"/>
      <bottom style="medium"/>
    </border>
    <border>
      <left style="thin"/>
      <right/>
      <top style="thin"/>
      <bottom style="medium"/>
    </border>
    <border>
      <left/>
      <right style="medium"/>
      <top style="thin"/>
      <bottom style="medium"/>
    </border>
    <border>
      <left style="medium"/>
      <right style="thin"/>
      <top style="medium"/>
      <bottom style="medium"/>
    </border>
    <border>
      <left style="thin"/>
      <right style="thin"/>
      <top/>
      <bottom style="medium"/>
    </border>
    <border>
      <left style="medium"/>
      <right/>
      <top/>
      <bottom/>
    </border>
    <border>
      <left style="medium"/>
      <right style="thin"/>
      <top style="thin"/>
      <bottom style="medium"/>
    </border>
    <border>
      <left style="medium"/>
      <right style="thin"/>
      <top/>
      <bottom style="medium"/>
    </border>
    <border>
      <left/>
      <right/>
      <top style="thin"/>
      <bottom style="thin"/>
    </border>
    <border>
      <left style="medium"/>
      <right/>
      <top/>
      <bottom style="thin"/>
    </border>
    <border>
      <left/>
      <right/>
      <top/>
      <bottom style="thin"/>
    </border>
    <border>
      <left/>
      <right/>
      <top style="medium"/>
      <bottom style="medium"/>
    </border>
    <border>
      <left/>
      <right/>
      <top style="medium"/>
      <bottom/>
    </border>
    <border>
      <left style="thin"/>
      <right/>
      <top style="thin"/>
      <bottom/>
    </border>
    <border>
      <left/>
      <right/>
      <top style="thin"/>
      <bottom/>
    </border>
    <border>
      <left style="medium"/>
      <right/>
      <top style="medium"/>
      <bottom style="medium"/>
    </border>
    <border>
      <left/>
      <right/>
      <top style="medium"/>
      <bottom style="thin"/>
    </border>
    <border>
      <left style="medium"/>
      <right style="thin"/>
      <top/>
      <bottom style="thin"/>
    </border>
    <border>
      <left/>
      <right style="thin"/>
      <top/>
      <bottom style="thin"/>
    </border>
    <border>
      <left style="thin"/>
      <right/>
      <top/>
      <bottom style="medium"/>
    </border>
    <border>
      <left/>
      <right/>
      <top/>
      <bottom style="medium"/>
    </border>
    <border>
      <left/>
      <right style="thin"/>
      <top style="medium"/>
      <bottom style="medium"/>
    </border>
    <border>
      <left style="thin"/>
      <right style="medium"/>
      <top style="thin"/>
      <bottom/>
    </border>
    <border>
      <left style="thin"/>
      <right style="thin"/>
      <top style="double"/>
      <bottom style="thin"/>
    </border>
    <border>
      <left style="thin"/>
      <right/>
      <top style="double"/>
      <bottom style="thin"/>
    </border>
    <border>
      <left style="double"/>
      <right style="double"/>
      <top style="double"/>
      <bottom style="thin"/>
    </border>
    <border>
      <left style="double"/>
      <right style="double">
        <color indexed="10"/>
      </right>
      <top style="double"/>
      <bottom style="thin"/>
    </border>
    <border>
      <left style="double">
        <color indexed="10"/>
      </left>
      <right style="double">
        <color indexed="10"/>
      </right>
      <top style="double">
        <color indexed="10"/>
      </top>
      <bottom style="thin"/>
    </border>
    <border>
      <left/>
      <right style="thin"/>
      <top style="double"/>
      <bottom style="thin"/>
    </border>
    <border>
      <left/>
      <right style="double">
        <color indexed="10"/>
      </right>
      <top style="double"/>
      <bottom style="thin"/>
    </border>
    <border>
      <left style="double">
        <color indexed="10"/>
      </left>
      <right style="thin"/>
      <top style="double"/>
      <bottom style="thin"/>
    </border>
    <border>
      <left style="thin"/>
      <right style="double"/>
      <top style="double"/>
      <bottom style="thin"/>
    </border>
    <border>
      <left style="double"/>
      <right style="double">
        <color indexed="10"/>
      </right>
      <top style="thin"/>
      <bottom style="thin"/>
    </border>
    <border>
      <left style="double">
        <color indexed="10"/>
      </left>
      <right style="double">
        <color indexed="10"/>
      </right>
      <top style="thin"/>
      <bottom style="thin"/>
    </border>
    <border>
      <left style="double">
        <color indexed="10"/>
      </left>
      <right style="thin"/>
      <top style="thin"/>
      <bottom style="thin"/>
    </border>
    <border>
      <left style="thin"/>
      <right style="double"/>
      <top style="thin"/>
      <bottom style="thin"/>
    </border>
    <border>
      <left style="double"/>
      <right style="double"/>
      <top style="thin"/>
      <bottom style="thin"/>
    </border>
    <border>
      <left style="double">
        <color rgb="FFFF0000"/>
      </left>
      <right style="double">
        <color rgb="FFFF0000"/>
      </right>
      <top style="thin"/>
      <bottom style="thin"/>
    </border>
    <border>
      <left style="double"/>
      <right style="double"/>
      <top style="medium"/>
      <bottom style="medium"/>
    </border>
    <border>
      <left style="double"/>
      <right style="double">
        <color indexed="10"/>
      </right>
      <top style="medium"/>
      <bottom style="medium"/>
    </border>
    <border>
      <left style="thin"/>
      <right style="double">
        <color indexed="10"/>
      </right>
      <top style="medium"/>
      <bottom style="medium"/>
    </border>
    <border>
      <left style="double">
        <color indexed="10"/>
      </left>
      <right style="double">
        <color indexed="10"/>
      </right>
      <top style="medium"/>
      <bottom style="medium"/>
    </border>
    <border>
      <left style="double">
        <color indexed="10"/>
      </left>
      <right style="thin"/>
      <top style="medium"/>
      <bottom style="medium"/>
    </border>
    <border>
      <left style="thin"/>
      <right style="double"/>
      <top style="medium"/>
      <bottom style="medium"/>
    </border>
    <border>
      <left style="double"/>
      <right style="double">
        <color rgb="FFFF0000"/>
      </right>
      <top style="medium"/>
      <bottom style="thin"/>
    </border>
    <border>
      <left style="double"/>
      <right style="double">
        <color rgb="FFFF0000"/>
      </right>
      <top style="thin"/>
      <bottom style="thin"/>
    </border>
    <border>
      <left style="double"/>
      <right style="double">
        <color rgb="FFFF0000"/>
      </right>
      <top style="thin"/>
      <bottom style="medium"/>
    </border>
    <border>
      <left style="double">
        <color rgb="FFFF0000"/>
      </left>
      <right style="double">
        <color rgb="FFFF0000"/>
      </right>
      <top style="medium"/>
      <bottom style="medium"/>
    </border>
    <border>
      <left style="double"/>
      <right style="thin"/>
      <top/>
      <bottom style="thin"/>
    </border>
    <border>
      <left style="double"/>
      <right style="double"/>
      <top>
        <color indexed="63"/>
      </top>
      <bottom style="thin"/>
    </border>
    <border>
      <left style="double">
        <color rgb="FFFF0000"/>
      </left>
      <right style="double">
        <color rgb="FFFF0000"/>
      </right>
      <top>
        <color indexed="63"/>
      </top>
      <bottom style="thin"/>
    </border>
    <border>
      <left style="double">
        <color rgb="FFFF0000"/>
      </left>
      <right style="thin"/>
      <top style="medium"/>
      <bottom style="thin"/>
    </border>
    <border>
      <left>
        <color indexed="63"/>
      </left>
      <right style="double"/>
      <top>
        <color indexed="63"/>
      </top>
      <bottom style="thin"/>
    </border>
    <border>
      <left style="double"/>
      <right style="thin"/>
      <top style="thin"/>
      <bottom style="thin"/>
    </border>
    <border>
      <left style="double">
        <color rgb="FFFF0000"/>
      </left>
      <right style="thin"/>
      <top style="thin"/>
      <bottom style="thin"/>
    </border>
    <border>
      <left>
        <color indexed="63"/>
      </left>
      <right style="double"/>
      <top style="thin"/>
      <bottom style="thin"/>
    </border>
    <border>
      <left style="double"/>
      <right style="thin"/>
      <top style="thin"/>
      <bottom style="double"/>
    </border>
    <border>
      <left style="thin"/>
      <right/>
      <top style="thin"/>
      <bottom style="double"/>
    </border>
    <border>
      <left style="double"/>
      <right style="double"/>
      <top style="thin"/>
      <bottom style="double"/>
    </border>
    <border>
      <left style="double">
        <color rgb="FFFF0000"/>
      </left>
      <right style="double">
        <color rgb="FFFF0000"/>
      </right>
      <top style="thin"/>
      <bottom style="double"/>
    </border>
    <border>
      <left>
        <color indexed="63"/>
      </left>
      <right>
        <color indexed="63"/>
      </right>
      <top style="thin"/>
      <bottom style="double"/>
    </border>
    <border>
      <left style="thin"/>
      <right style="thin"/>
      <top style="thin"/>
      <bottom style="double"/>
    </border>
    <border>
      <left style="double">
        <color rgb="FFFF0000"/>
      </left>
      <right style="thin"/>
      <top style="thin"/>
      <bottom style="double"/>
    </border>
    <border>
      <left>
        <color indexed="63"/>
      </left>
      <right style="double"/>
      <top style="thin"/>
      <bottom style="double"/>
    </border>
    <border>
      <left style="double"/>
      <right>
        <color indexed="63"/>
      </right>
      <top style="double"/>
      <bottom style="thin"/>
    </border>
    <border>
      <left style="double"/>
      <right style="double"/>
      <top style="double"/>
      <bottom>
        <color indexed="63"/>
      </bottom>
    </border>
    <border>
      <left style="double"/>
      <right style="double">
        <color indexed="10"/>
      </right>
      <top style="double"/>
      <bottom style="double"/>
    </border>
    <border>
      <left style="double"/>
      <right style="thin"/>
      <top style="double"/>
      <bottom style="thin"/>
    </border>
    <border>
      <left/>
      <right/>
      <top style="double"/>
      <bottom style="thin"/>
    </border>
    <border>
      <left style="double">
        <color rgb="FFFF0000"/>
      </left>
      <right style="double">
        <color rgb="FFFF0000"/>
      </right>
      <top style="double">
        <color rgb="FFFF0000"/>
      </top>
      <bottom style="thin"/>
    </border>
    <border>
      <left style="double"/>
      <right>
        <color indexed="63"/>
      </right>
      <top style="thin"/>
      <bottom style="thin"/>
    </border>
    <border>
      <left style="double"/>
      <right style="thin"/>
      <top style="thin"/>
      <bottom/>
    </border>
    <border>
      <left style="double"/>
      <right style="double"/>
      <top style="thin"/>
      <bottom style="medium"/>
    </border>
    <border>
      <left style="double"/>
      <right style="thin"/>
      <top style="medium"/>
      <bottom style="medium"/>
    </border>
    <border>
      <left style="double"/>
      <right/>
      <top style="medium"/>
      <bottom style="medium"/>
    </border>
    <border>
      <left style="double"/>
      <right>
        <color indexed="63"/>
      </right>
      <top>
        <color indexed="63"/>
      </top>
      <bottom style="thin"/>
    </border>
    <border>
      <left style="double"/>
      <right>
        <color indexed="63"/>
      </right>
      <top style="thin"/>
      <bottom style="double"/>
    </border>
    <border>
      <left>
        <color indexed="63"/>
      </left>
      <right style="thin"/>
      <top style="thin"/>
      <bottom style="double"/>
    </border>
    <border>
      <left style="double">
        <color rgb="FFFF0000"/>
      </left>
      <right style="double">
        <color rgb="FFFF0000"/>
      </right>
      <top style="thin"/>
      <bottom style="double">
        <color rgb="FFFF0000"/>
      </bottom>
    </border>
    <border>
      <left style="double"/>
      <right style="thin"/>
      <top style="medium"/>
      <bottom style="thin"/>
    </border>
    <border>
      <left style="double"/>
      <right style="double"/>
      <top style="medium"/>
      <bottom style="thin"/>
    </border>
    <border>
      <left style="double"/>
      <right>
        <color indexed="63"/>
      </right>
      <top style="medium"/>
      <bottom style="thin"/>
    </border>
    <border>
      <left style="double">
        <color rgb="FFFF0000"/>
      </left>
      <right style="double">
        <color rgb="FFFF0000"/>
      </right>
      <top style="medium"/>
      <bottom style="thin"/>
    </border>
    <border>
      <left>
        <color indexed="63"/>
      </left>
      <right style="double"/>
      <top style="medium"/>
      <bottom style="thin"/>
    </border>
    <border>
      <left style="medium"/>
      <right/>
      <top style="medium"/>
      <bottom/>
    </border>
    <border>
      <left/>
      <right style="medium"/>
      <top style="medium"/>
      <bottom/>
    </border>
    <border>
      <left style="medium"/>
      <right/>
      <top style="thin"/>
      <bottom/>
    </border>
    <border>
      <left style="medium"/>
      <right/>
      <top style="thin"/>
      <bottom style="thin"/>
    </border>
    <border>
      <left style="medium"/>
      <right/>
      <top style="medium"/>
      <bottom style="thin"/>
    </border>
    <border>
      <left/>
      <right style="medium"/>
      <top style="medium"/>
      <bottom style="medium"/>
    </border>
    <border>
      <left style="hair"/>
      <right style="thin"/>
      <top style="medium"/>
      <bottom style="medium"/>
    </border>
    <border>
      <left style="hair"/>
      <right style="medium"/>
      <top style="medium"/>
      <bottom style="medium"/>
    </border>
    <border>
      <left style="hair"/>
      <right/>
      <top/>
      <bottom style="medium"/>
    </border>
    <border>
      <left/>
      <right style="medium"/>
      <top/>
      <bottom style="medium"/>
    </border>
    <border>
      <left style="hair"/>
      <right/>
      <top style="medium"/>
      <bottom style="medium"/>
    </border>
    <border>
      <left style="medium"/>
      <right style="hair"/>
      <top style="medium"/>
      <bottom style="medium"/>
    </border>
    <border>
      <left/>
      <right style="medium"/>
      <top style="medium"/>
      <bottom style="thin"/>
    </border>
    <border>
      <left style="hair"/>
      <right style="thin"/>
      <top style="medium"/>
      <bottom style="thin"/>
    </border>
    <border>
      <left style="hair"/>
      <right style="medium"/>
      <top style="medium"/>
      <bottom style="thin"/>
    </border>
    <border>
      <left style="hair"/>
      <right/>
      <top style="medium"/>
      <bottom style="thin"/>
    </border>
    <border>
      <left style="medium"/>
      <right style="hair"/>
      <top style="medium"/>
      <bottom style="thin"/>
    </border>
    <border>
      <left/>
      <right style="medium"/>
      <top/>
      <bottom/>
    </border>
    <border>
      <left style="hair"/>
      <right style="thin"/>
      <top/>
      <bottom/>
    </border>
    <border>
      <left style="hair"/>
      <right style="medium"/>
      <top/>
      <bottom/>
    </border>
    <border>
      <left style="hair"/>
      <right/>
      <top/>
      <bottom/>
    </border>
    <border>
      <left style="medium"/>
      <right style="hair"/>
      <top/>
      <bottom/>
    </border>
    <border>
      <left style="medium"/>
      <right/>
      <top/>
      <bottom style="medium"/>
    </border>
    <border>
      <left style="hair"/>
      <right style="thin"/>
      <top/>
      <bottom style="medium"/>
    </border>
    <border>
      <left style="hair"/>
      <right style="medium"/>
      <top/>
      <bottom style="medium"/>
    </border>
    <border>
      <left/>
      <right style="thin"/>
      <top/>
      <bottom style="medium"/>
    </border>
    <border>
      <left style="medium"/>
      <right style="hair"/>
      <top/>
      <bottom style="medium"/>
    </border>
    <border>
      <left/>
      <right/>
      <top style="thin"/>
      <bottom style="medium"/>
    </border>
    <border>
      <left style="thin"/>
      <right style="medium"/>
      <top/>
      <bottom style="medium"/>
    </border>
    <border>
      <left style="medium"/>
      <right style="thin"/>
      <top style="medium"/>
      <bottom/>
    </border>
    <border>
      <left style="medium"/>
      <right style="medium"/>
      <top style="medium"/>
      <bottom/>
    </border>
    <border>
      <left style="medium"/>
      <right style="medium"/>
      <top style="thin"/>
      <bottom style="medium"/>
    </border>
    <border>
      <left style="medium"/>
      <right style="medium"/>
      <top/>
      <bottom style="medium"/>
    </border>
    <border>
      <left/>
      <right style="thin"/>
      <top style="thin"/>
      <bottom style="medium"/>
    </border>
    <border>
      <left style="medium">
        <color theme="9" tint="-0.4999699890613556"/>
      </left>
      <right style="medium">
        <color theme="9" tint="-0.4999699890613556"/>
      </right>
      <top/>
      <bottom style="medium"/>
    </border>
    <border>
      <left style="medium">
        <color theme="9" tint="-0.4999699890613556"/>
      </left>
      <right style="medium">
        <color theme="9" tint="-0.4999699890613556"/>
      </right>
      <top>
        <color indexed="63"/>
      </top>
      <bottom>
        <color indexed="63"/>
      </bottom>
    </border>
    <border>
      <left/>
      <right style="thin"/>
      <top style="medium"/>
      <bottom/>
    </border>
    <border>
      <left style="medium">
        <color theme="9" tint="-0.4999699890613556"/>
      </left>
      <right style="medium">
        <color theme="9" tint="-0.4999699890613556"/>
      </right>
      <top style="medium"/>
      <bottom/>
    </border>
    <border>
      <left style="medium">
        <color theme="9" tint="-0.4999699890613556"/>
      </left>
      <right style="medium">
        <color theme="9" tint="-0.4999699890613556"/>
      </right>
      <top style="thin"/>
      <bottom style="thin"/>
    </border>
    <border>
      <left style="medium">
        <color theme="9" tint="-0.4999699890613556"/>
      </left>
      <right style="medium">
        <color theme="9" tint="-0.4999699890613556"/>
      </right>
      <top style="thin"/>
      <bottom style="medium"/>
    </border>
    <border>
      <left style="medium">
        <color theme="9" tint="-0.4999699890613556"/>
      </left>
      <right style="medium">
        <color theme="9" tint="-0.4999699890613556"/>
      </right>
      <top style="medium"/>
      <bottom style="thin"/>
    </border>
    <border>
      <left style="medium">
        <color theme="9" tint="-0.4999699890613556"/>
      </left>
      <right style="medium">
        <color theme="9" tint="-0.4999699890613556"/>
      </right>
      <top/>
      <bottom style="thin"/>
    </border>
    <border>
      <left style="medium">
        <color theme="9" tint="-0.4999699890613556"/>
      </left>
      <right style="medium">
        <color theme="9" tint="-0.4999699890613556"/>
      </right>
      <top style="medium"/>
      <bottom style="medium"/>
    </border>
    <border>
      <left style="medium">
        <color theme="9" tint="-0.4999699890613556"/>
      </left>
      <right style="medium">
        <color theme="9" tint="-0.4999699890613556"/>
      </right>
      <top style="thin"/>
      <bottom/>
    </border>
    <border>
      <left style="medium">
        <color theme="9" tint="-0.4999699890613556"/>
      </left>
      <right style="medium">
        <color theme="9" tint="-0.4999699890613556"/>
      </right>
      <top style="thin"/>
      <bottom style="medium">
        <color theme="9" tint="-0.4999699890613556"/>
      </bottom>
    </border>
    <border>
      <left style="medium">
        <color theme="9" tint="-0.4999699890613556"/>
      </left>
      <right style="medium">
        <color theme="9" tint="-0.4999699890613556"/>
      </right>
      <top style="medium">
        <color theme="9" tint="-0.4999699890613556"/>
      </top>
      <bottom style="thin"/>
    </border>
    <border>
      <left style="hair"/>
      <right/>
      <top style="thin"/>
      <bottom/>
    </border>
    <border>
      <left/>
      <right style="medium"/>
      <top style="thin"/>
      <bottom/>
    </border>
    <border>
      <left style="medium"/>
      <right style="hair"/>
      <top style="thin"/>
      <bottom style="thin"/>
    </border>
    <border>
      <left style="medium"/>
      <right style="hair"/>
      <top style="thin"/>
      <bottom style="medium"/>
    </border>
    <border>
      <left style="medium"/>
      <right/>
      <top style="thin"/>
      <bottom style="mediu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77" fillId="20" borderId="0" applyNumberFormat="0" applyBorder="0" applyAlignment="0" applyProtection="0"/>
    <xf numFmtId="0" fontId="7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2" borderId="0" applyNumberFormat="0" applyBorder="0" applyAlignment="0" applyProtection="0"/>
    <xf numFmtId="0" fontId="0" fillId="0" borderId="0">
      <alignment/>
      <protection/>
    </xf>
    <xf numFmtId="0" fontId="74" fillId="0" borderId="0">
      <alignment/>
      <protection/>
    </xf>
    <xf numFmtId="0" fontId="23"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21" fillId="0" borderId="0">
      <alignment/>
      <protection/>
    </xf>
    <xf numFmtId="0" fontId="21" fillId="0" borderId="0">
      <alignment/>
      <protection/>
    </xf>
    <xf numFmtId="0" fontId="74" fillId="0" borderId="0">
      <alignment/>
      <protection/>
    </xf>
    <xf numFmtId="0" fontId="74" fillId="0" borderId="0">
      <alignment/>
      <protection/>
    </xf>
    <xf numFmtId="0" fontId="21" fillId="0" borderId="0">
      <alignment/>
      <protection/>
    </xf>
    <xf numFmtId="0" fontId="0" fillId="0" borderId="0">
      <alignment/>
      <protection/>
    </xf>
    <xf numFmtId="0" fontId="21" fillId="0" borderId="0">
      <alignment/>
      <protection/>
    </xf>
    <xf numFmtId="0" fontId="74" fillId="0" borderId="0">
      <alignment/>
      <protection/>
    </xf>
    <xf numFmtId="0" fontId="0" fillId="0" borderId="0">
      <alignment/>
      <protection/>
    </xf>
    <xf numFmtId="0" fontId="21" fillId="0" borderId="0">
      <alignment/>
      <protection/>
    </xf>
    <xf numFmtId="0" fontId="74" fillId="0" borderId="0">
      <alignment/>
      <protection/>
    </xf>
    <xf numFmtId="0" fontId="21" fillId="0" borderId="0">
      <alignment/>
      <protection/>
    </xf>
    <xf numFmtId="0" fontId="21"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22" fillId="0" borderId="0">
      <alignment/>
      <protection/>
    </xf>
    <xf numFmtId="0" fontId="0" fillId="0" borderId="0">
      <alignment/>
      <protection/>
    </xf>
    <xf numFmtId="0" fontId="0" fillId="0" borderId="0">
      <alignment/>
      <protection/>
    </xf>
    <xf numFmtId="0" fontId="7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0" fillId="2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7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4" fillId="0" borderId="0" applyFont="0" applyFill="0" applyBorder="0" applyAlignment="0" applyProtection="0"/>
    <xf numFmtId="0" fontId="84" fillId="0" borderId="7" applyNumberFormat="0" applyFill="0" applyAlignment="0" applyProtection="0"/>
    <xf numFmtId="0" fontId="3" fillId="0" borderId="0" applyNumberFormat="0" applyFill="0" applyBorder="0" applyAlignment="0" applyProtection="0"/>
    <xf numFmtId="0" fontId="85" fillId="24" borderId="0" applyNumberFormat="0" applyBorder="0" applyAlignment="0" applyProtection="0"/>
    <xf numFmtId="0" fontId="86" fillId="0" borderId="0" applyNumberFormat="0" applyFill="0" applyBorder="0" applyAlignment="0" applyProtection="0"/>
    <xf numFmtId="0" fontId="87" fillId="25" borderId="8" applyNumberFormat="0" applyAlignment="0" applyProtection="0"/>
    <xf numFmtId="0" fontId="88" fillId="26" borderId="8" applyNumberFormat="0" applyAlignment="0" applyProtection="0"/>
    <xf numFmtId="0" fontId="89" fillId="26" borderId="9" applyNumberFormat="0" applyAlignment="0" applyProtection="0"/>
    <xf numFmtId="0" fontId="90" fillId="0" borderId="0" applyNumberFormat="0" applyFill="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cellStyleXfs>
  <cellXfs count="979">
    <xf numFmtId="0" fontId="0" fillId="0" borderId="0" xfId="0" applyAlignment="1">
      <alignment/>
    </xf>
    <xf numFmtId="0" fontId="0" fillId="0" borderId="0" xfId="0" applyAlignment="1">
      <alignment vertical="center"/>
    </xf>
    <xf numFmtId="0" fontId="7" fillId="0" borderId="0" xfId="89" applyFont="1" applyAlignment="1">
      <alignment vertical="center"/>
      <protection/>
    </xf>
    <xf numFmtId="0" fontId="0" fillId="0" borderId="0" xfId="0" applyFont="1" applyAlignment="1">
      <alignment/>
    </xf>
    <xf numFmtId="0" fontId="91" fillId="0" borderId="0" xfId="0" applyFont="1" applyAlignment="1">
      <alignment/>
    </xf>
    <xf numFmtId="3" fontId="0" fillId="0" borderId="0" xfId="85" applyNumberFormat="1" applyFont="1" applyFill="1" applyAlignment="1">
      <alignment horizontal="right" vertical="center"/>
      <protection/>
    </xf>
    <xf numFmtId="0" fontId="92" fillId="0" borderId="0" xfId="0" applyFont="1" applyAlignment="1">
      <alignment/>
    </xf>
    <xf numFmtId="3" fontId="8" fillId="0" borderId="0" xfId="89" applyNumberFormat="1" applyFont="1" applyAlignment="1">
      <alignment vertical="center"/>
      <protection/>
    </xf>
    <xf numFmtId="0" fontId="8" fillId="0" borderId="0" xfId="89" applyFont="1" applyAlignment="1">
      <alignment vertical="center"/>
      <protection/>
    </xf>
    <xf numFmtId="10" fontId="8" fillId="0" borderId="0" xfId="89" applyNumberFormat="1" applyFont="1" applyAlignment="1">
      <alignment vertical="center"/>
      <protection/>
    </xf>
    <xf numFmtId="0" fontId="10" fillId="33" borderId="0" xfId="89" applyFont="1" applyFill="1" applyAlignment="1">
      <alignment horizontal="left" vertical="center"/>
      <protection/>
    </xf>
    <xf numFmtId="0" fontId="10" fillId="33" borderId="0" xfId="89" applyFont="1" applyFill="1" applyAlignment="1">
      <alignment vertical="center"/>
      <protection/>
    </xf>
    <xf numFmtId="0" fontId="11" fillId="33" borderId="0" xfId="89" applyFont="1" applyFill="1" applyAlignment="1">
      <alignment vertical="center"/>
      <protection/>
    </xf>
    <xf numFmtId="0" fontId="11" fillId="33" borderId="0" xfId="89" applyFont="1" applyFill="1" applyBorder="1" applyAlignment="1">
      <alignment vertical="center"/>
      <protection/>
    </xf>
    <xf numFmtId="191" fontId="11" fillId="33" borderId="0" xfId="89" applyNumberFormat="1" applyFont="1" applyFill="1" applyBorder="1" applyAlignment="1">
      <alignment horizontal="right" vertical="center"/>
      <protection/>
    </xf>
    <xf numFmtId="191" fontId="11" fillId="33" borderId="0" xfId="89" applyNumberFormat="1" applyFont="1" applyFill="1" applyAlignment="1">
      <alignment vertical="center"/>
      <protection/>
    </xf>
    <xf numFmtId="0" fontId="11" fillId="0" borderId="0" xfId="89" applyFont="1" applyFill="1" applyAlignment="1">
      <alignment vertical="center"/>
      <protection/>
    </xf>
    <xf numFmtId="191" fontId="11" fillId="0" borderId="0" xfId="89" applyNumberFormat="1" applyFont="1" applyFill="1" applyAlignment="1">
      <alignment horizontal="right" vertical="center"/>
      <protection/>
    </xf>
    <xf numFmtId="191" fontId="11" fillId="0" borderId="0" xfId="89" applyNumberFormat="1" applyFont="1" applyFill="1" applyAlignment="1">
      <alignment vertical="center"/>
      <protection/>
    </xf>
    <xf numFmtId="0" fontId="13" fillId="0" borderId="0" xfId="89" applyFont="1" applyFill="1" applyAlignment="1">
      <alignment vertical="center"/>
      <protection/>
    </xf>
    <xf numFmtId="0" fontId="14" fillId="0" borderId="0" xfId="0" applyFont="1" applyAlignment="1">
      <alignment vertical="center"/>
    </xf>
    <xf numFmtId="0" fontId="15" fillId="0" borderId="0" xfId="0" applyFont="1" applyAlignment="1">
      <alignment horizontal="center" vertical="center"/>
    </xf>
    <xf numFmtId="0" fontId="16" fillId="0" borderId="0" xfId="47" applyFont="1" applyFill="1" applyBorder="1" applyAlignment="1">
      <alignment vertical="center"/>
      <protection/>
    </xf>
    <xf numFmtId="0" fontId="17" fillId="0" borderId="0" xfId="47" applyFont="1" applyFill="1" applyBorder="1" applyAlignment="1">
      <alignment vertical="center"/>
      <protection/>
    </xf>
    <xf numFmtId="176" fontId="12" fillId="0" borderId="0" xfId="47" applyNumberFormat="1" applyFont="1" applyFill="1" applyBorder="1" applyAlignment="1">
      <alignment horizontal="center" vertical="center" wrapText="1"/>
      <protection/>
    </xf>
    <xf numFmtId="0" fontId="0" fillId="0" borderId="0" xfId="47">
      <alignment/>
      <protection/>
    </xf>
    <xf numFmtId="0" fontId="0" fillId="0" borderId="0" xfId="47" applyFill="1" applyAlignment="1">
      <alignment vertical="center"/>
      <protection/>
    </xf>
    <xf numFmtId="176" fontId="0" fillId="0" borderId="0" xfId="47" applyNumberFormat="1" applyAlignment="1">
      <alignment horizontal="center" vertical="center"/>
      <protection/>
    </xf>
    <xf numFmtId="0" fontId="0" fillId="0" borderId="0" xfId="47" applyAlignment="1">
      <alignment vertical="center"/>
      <protection/>
    </xf>
    <xf numFmtId="3" fontId="0" fillId="0" borderId="0" xfId="47" applyNumberFormat="1" applyAlignment="1">
      <alignment vertical="center"/>
      <protection/>
    </xf>
    <xf numFmtId="0" fontId="0" fillId="0" borderId="0" xfId="47" applyAlignment="1">
      <alignment horizontal="center" vertical="center"/>
      <protection/>
    </xf>
    <xf numFmtId="0" fontId="0" fillId="0" borderId="0" xfId="47" applyFont="1" applyAlignment="1">
      <alignment horizontal="center" vertical="center"/>
      <protection/>
    </xf>
    <xf numFmtId="0" fontId="14" fillId="0" borderId="0" xfId="47" applyFont="1" applyFill="1" applyBorder="1" applyAlignment="1">
      <alignment vertical="center"/>
      <protection/>
    </xf>
    <xf numFmtId="0" fontId="0" fillId="0" borderId="0" xfId="66" applyFont="1" applyFill="1" applyBorder="1" applyAlignment="1">
      <alignment vertical="center"/>
      <protection/>
    </xf>
    <xf numFmtId="0" fontId="0" fillId="0" borderId="0" xfId="66" applyFill="1" applyBorder="1" applyAlignment="1">
      <alignment vertical="center"/>
      <protection/>
    </xf>
    <xf numFmtId="0" fontId="74" fillId="0" borderId="0" xfId="57" applyFill="1" applyBorder="1">
      <alignment/>
      <protection/>
    </xf>
    <xf numFmtId="0" fontId="5" fillId="0" borderId="0" xfId="66" applyFont="1" applyFill="1" applyBorder="1" applyAlignment="1">
      <alignment vertical="center"/>
      <protection/>
    </xf>
    <xf numFmtId="0" fontId="20" fillId="0" borderId="0" xfId="87" applyFont="1" applyAlignment="1">
      <alignment horizontal="center" vertical="center"/>
      <protection/>
    </xf>
    <xf numFmtId="0" fontId="93" fillId="0" borderId="0" xfId="66" applyFont="1" applyFill="1" applyBorder="1" applyAlignment="1">
      <alignment vertical="center"/>
      <protection/>
    </xf>
    <xf numFmtId="0" fontId="91" fillId="0" borderId="10" xfId="0" applyFont="1" applyBorder="1" applyAlignment="1">
      <alignment horizontal="center" vertical="center"/>
    </xf>
    <xf numFmtId="0" fontId="94" fillId="34" borderId="11" xfId="0" applyFont="1" applyFill="1" applyBorder="1" applyAlignment="1">
      <alignment horizontal="center" textRotation="90" wrapText="1"/>
    </xf>
    <xf numFmtId="0" fontId="94" fillId="35" borderId="12" xfId="0" applyFont="1" applyFill="1" applyBorder="1" applyAlignment="1">
      <alignment horizontal="center" textRotation="90" wrapText="1"/>
    </xf>
    <xf numFmtId="0" fontId="94" fillId="34" borderId="12" xfId="0" applyFont="1" applyFill="1" applyBorder="1" applyAlignment="1">
      <alignment horizontal="center" textRotation="90" wrapText="1"/>
    </xf>
    <xf numFmtId="0" fontId="94" fillId="0" borderId="13" xfId="0" applyFont="1" applyBorder="1" applyAlignment="1">
      <alignment horizontal="center" textRotation="90" wrapText="1"/>
    </xf>
    <xf numFmtId="0" fontId="94" fillId="0" borderId="14" xfId="0" applyFont="1" applyBorder="1" applyAlignment="1">
      <alignment horizontal="center" textRotation="90" wrapText="1"/>
    </xf>
    <xf numFmtId="0" fontId="94" fillId="34" borderId="15" xfId="0" applyFont="1" applyFill="1" applyBorder="1" applyAlignment="1">
      <alignment horizontal="center" textRotation="90" wrapText="1"/>
    </xf>
    <xf numFmtId="0" fontId="94" fillId="0" borderId="16" xfId="0" applyFont="1" applyBorder="1" applyAlignment="1">
      <alignment/>
    </xf>
    <xf numFmtId="0" fontId="94" fillId="34" borderId="17" xfId="0" applyFont="1" applyFill="1" applyBorder="1" applyAlignment="1">
      <alignment horizontal="center"/>
    </xf>
    <xf numFmtId="0" fontId="94" fillId="35" borderId="18" xfId="0" applyFont="1" applyFill="1" applyBorder="1" applyAlignment="1">
      <alignment horizontal="center"/>
    </xf>
    <xf numFmtId="0" fontId="94" fillId="34" borderId="18" xfId="0" applyFont="1" applyFill="1" applyBorder="1" applyAlignment="1">
      <alignment horizontal="center"/>
    </xf>
    <xf numFmtId="0" fontId="94" fillId="0" borderId="19" xfId="0" applyFont="1" applyBorder="1" applyAlignment="1">
      <alignment horizontal="center"/>
    </xf>
    <xf numFmtId="0" fontId="94" fillId="0" borderId="20" xfId="0" applyFont="1" applyBorder="1" applyAlignment="1">
      <alignment horizontal="center"/>
    </xf>
    <xf numFmtId="0" fontId="94" fillId="34" borderId="21" xfId="0" applyFont="1" applyFill="1" applyBorder="1" applyAlignment="1">
      <alignment horizontal="center"/>
    </xf>
    <xf numFmtId="0" fontId="94" fillId="34" borderId="22" xfId="0" applyFont="1" applyFill="1" applyBorder="1" applyAlignment="1">
      <alignment horizontal="center"/>
    </xf>
    <xf numFmtId="0" fontId="94" fillId="35" borderId="23" xfId="0" applyFont="1" applyFill="1" applyBorder="1" applyAlignment="1">
      <alignment horizontal="center"/>
    </xf>
    <xf numFmtId="0" fontId="94" fillId="34" borderId="23" xfId="0" applyFont="1" applyFill="1" applyBorder="1" applyAlignment="1">
      <alignment horizontal="center"/>
    </xf>
    <xf numFmtId="0" fontId="94" fillId="0" borderId="24" xfId="0" applyFont="1" applyBorder="1" applyAlignment="1">
      <alignment horizontal="center"/>
    </xf>
    <xf numFmtId="0" fontId="94" fillId="0" borderId="25" xfId="0" applyFont="1" applyBorder="1" applyAlignment="1">
      <alignment horizontal="center"/>
    </xf>
    <xf numFmtId="0" fontId="94" fillId="34" borderId="26" xfId="0" applyFont="1" applyFill="1" applyBorder="1" applyAlignment="1">
      <alignment horizontal="center"/>
    </xf>
    <xf numFmtId="3" fontId="95" fillId="34" borderId="27" xfId="0" applyNumberFormat="1" applyFont="1" applyFill="1" applyBorder="1" applyAlignment="1">
      <alignment/>
    </xf>
    <xf numFmtId="175" fontId="95" fillId="34" borderId="28" xfId="0" applyNumberFormat="1" applyFont="1" applyFill="1" applyBorder="1" applyAlignment="1">
      <alignment/>
    </xf>
    <xf numFmtId="175" fontId="95" fillId="35" borderId="29" xfId="0" applyNumberFormat="1" applyFont="1" applyFill="1" applyBorder="1" applyAlignment="1">
      <alignment/>
    </xf>
    <xf numFmtId="175" fontId="95" fillId="34" borderId="29" xfId="0" applyNumberFormat="1" applyFont="1" applyFill="1" applyBorder="1" applyAlignment="1">
      <alignment/>
    </xf>
    <xf numFmtId="175" fontId="95" fillId="34" borderId="30" xfId="0" applyNumberFormat="1" applyFont="1" applyFill="1" applyBorder="1" applyAlignment="1">
      <alignment/>
    </xf>
    <xf numFmtId="175" fontId="95" fillId="34" borderId="31" xfId="0" applyNumberFormat="1" applyFont="1" applyFill="1" applyBorder="1" applyAlignment="1">
      <alignment/>
    </xf>
    <xf numFmtId="175" fontId="95" fillId="34" borderId="32" xfId="0" applyNumberFormat="1" applyFont="1" applyFill="1" applyBorder="1" applyAlignment="1">
      <alignment/>
    </xf>
    <xf numFmtId="3" fontId="94" fillId="35" borderId="33" xfId="0" applyNumberFormat="1" applyFont="1" applyFill="1" applyBorder="1" applyAlignment="1">
      <alignment/>
    </xf>
    <xf numFmtId="175" fontId="94" fillId="34" borderId="34" xfId="0" applyNumberFormat="1" applyFont="1" applyFill="1" applyBorder="1" applyAlignment="1">
      <alignment/>
    </xf>
    <xf numFmtId="175" fontId="94" fillId="35" borderId="12" xfId="0" applyNumberFormat="1" applyFont="1" applyFill="1" applyBorder="1" applyAlignment="1">
      <alignment/>
    </xf>
    <xf numFmtId="175" fontId="94" fillId="34" borderId="12" xfId="0" applyNumberFormat="1" applyFont="1" applyFill="1" applyBorder="1" applyAlignment="1">
      <alignment/>
    </xf>
    <xf numFmtId="175" fontId="94" fillId="35" borderId="13" xfId="0" applyNumberFormat="1" applyFont="1" applyFill="1" applyBorder="1" applyAlignment="1">
      <alignment/>
    </xf>
    <xf numFmtId="175" fontId="94" fillId="35" borderId="14" xfId="0" applyNumberFormat="1" applyFont="1" applyFill="1" applyBorder="1" applyAlignment="1">
      <alignment/>
    </xf>
    <xf numFmtId="175" fontId="94" fillId="34" borderId="15" xfId="0" applyNumberFormat="1" applyFont="1" applyFill="1" applyBorder="1" applyAlignment="1">
      <alignment/>
    </xf>
    <xf numFmtId="3" fontId="95" fillId="35" borderId="33" xfId="0" applyNumberFormat="1" applyFont="1" applyFill="1" applyBorder="1" applyAlignment="1">
      <alignment/>
    </xf>
    <xf numFmtId="175" fontId="95" fillId="34" borderId="34" xfId="0" applyNumberFormat="1" applyFont="1" applyFill="1" applyBorder="1" applyAlignment="1">
      <alignment/>
    </xf>
    <xf numFmtId="175" fontId="95" fillId="35" borderId="12" xfId="0" applyNumberFormat="1" applyFont="1" applyFill="1" applyBorder="1" applyAlignment="1">
      <alignment/>
    </xf>
    <xf numFmtId="175" fontId="95" fillId="34" borderId="12" xfId="0" applyNumberFormat="1" applyFont="1" applyFill="1" applyBorder="1" applyAlignment="1">
      <alignment/>
    </xf>
    <xf numFmtId="175" fontId="95" fillId="35" borderId="13" xfId="0" applyNumberFormat="1" applyFont="1" applyFill="1" applyBorder="1" applyAlignment="1">
      <alignment/>
    </xf>
    <xf numFmtId="175" fontId="95" fillId="35" borderId="14" xfId="0" applyNumberFormat="1" applyFont="1" applyFill="1" applyBorder="1" applyAlignment="1">
      <alignment/>
    </xf>
    <xf numFmtId="175" fontId="95" fillId="34" borderId="15" xfId="0" applyNumberFormat="1" applyFont="1" applyFill="1" applyBorder="1" applyAlignment="1">
      <alignment/>
    </xf>
    <xf numFmtId="3" fontId="94" fillId="0" borderId="33" xfId="0" applyNumberFormat="1" applyFont="1" applyBorder="1" applyAlignment="1">
      <alignment/>
    </xf>
    <xf numFmtId="175" fontId="94" fillId="0" borderId="13" xfId="0" applyNumberFormat="1" applyFont="1" applyBorder="1" applyAlignment="1">
      <alignment/>
    </xf>
    <xf numFmtId="175" fontId="94" fillId="0" borderId="14" xfId="0" applyNumberFormat="1" applyFont="1" applyBorder="1" applyAlignment="1">
      <alignment/>
    </xf>
    <xf numFmtId="3" fontId="95" fillId="34" borderId="33" xfId="0" applyNumberFormat="1" applyFont="1" applyFill="1" applyBorder="1" applyAlignment="1">
      <alignment/>
    </xf>
    <xf numFmtId="175" fontId="95" fillId="34" borderId="13" xfId="0" applyNumberFormat="1" applyFont="1" applyFill="1" applyBorder="1" applyAlignment="1">
      <alignment/>
    </xf>
    <xf numFmtId="175" fontId="95" fillId="34" borderId="14" xfId="0" applyNumberFormat="1" applyFont="1" applyFill="1" applyBorder="1" applyAlignment="1">
      <alignment/>
    </xf>
    <xf numFmtId="0" fontId="12" fillId="33" borderId="35" xfId="89" applyFont="1" applyFill="1" applyBorder="1" applyAlignment="1">
      <alignment horizontal="center" vertical="center" wrapText="1"/>
      <protection/>
    </xf>
    <xf numFmtId="0" fontId="12" fillId="33" borderId="36" xfId="89" applyFont="1" applyFill="1" applyBorder="1" applyAlignment="1">
      <alignment horizontal="center" vertical="center" wrapText="1"/>
      <protection/>
    </xf>
    <xf numFmtId="0" fontId="12" fillId="0" borderId="35" xfId="89" applyFont="1" applyFill="1" applyBorder="1" applyAlignment="1">
      <alignment horizontal="center" vertical="center" wrapText="1"/>
      <protection/>
    </xf>
    <xf numFmtId="0" fontId="12" fillId="7" borderId="35" xfId="89" applyFont="1" applyFill="1" applyBorder="1" applyAlignment="1">
      <alignment horizontal="center" vertical="center" wrapText="1"/>
      <protection/>
    </xf>
    <xf numFmtId="0" fontId="24" fillId="33" borderId="37" xfId="89" applyFont="1" applyFill="1" applyBorder="1" applyAlignment="1">
      <alignment horizontal="center" vertical="center" wrapText="1"/>
      <protection/>
    </xf>
    <xf numFmtId="0" fontId="12" fillId="33" borderId="38" xfId="89" applyFont="1" applyFill="1" applyBorder="1" applyAlignment="1">
      <alignment horizontal="center" vertical="center" wrapText="1"/>
      <protection/>
    </xf>
    <xf numFmtId="0" fontId="12" fillId="33" borderId="39" xfId="89" applyFont="1" applyFill="1" applyBorder="1" applyAlignment="1">
      <alignment horizontal="center" vertical="center"/>
      <protection/>
    </xf>
    <xf numFmtId="0" fontId="12" fillId="7" borderId="39" xfId="89" applyFont="1" applyFill="1" applyBorder="1" applyAlignment="1">
      <alignment horizontal="center" vertical="center"/>
      <protection/>
    </xf>
    <xf numFmtId="0" fontId="24" fillId="33" borderId="40" xfId="89" applyFont="1" applyFill="1" applyBorder="1" applyAlignment="1">
      <alignment horizontal="center" vertical="center" wrapText="1"/>
      <protection/>
    </xf>
    <xf numFmtId="0" fontId="0" fillId="0" borderId="0" xfId="66">
      <alignment/>
      <protection/>
    </xf>
    <xf numFmtId="0" fontId="12" fillId="0" borderId="0" xfId="89" applyFont="1" applyFill="1" applyAlignment="1">
      <alignment vertical="center"/>
      <protection/>
    </xf>
    <xf numFmtId="3" fontId="10" fillId="33" borderId="31" xfId="89" applyNumberFormat="1" applyFont="1" applyFill="1" applyBorder="1" applyAlignment="1">
      <alignment horizontal="center" vertical="center" wrapText="1"/>
      <protection/>
    </xf>
    <xf numFmtId="3" fontId="10" fillId="33" borderId="27" xfId="89" applyNumberFormat="1" applyFont="1" applyFill="1" applyBorder="1" applyAlignment="1">
      <alignment horizontal="center" vertical="center" wrapText="1"/>
      <protection/>
    </xf>
    <xf numFmtId="3" fontId="10" fillId="0" borderId="31" xfId="89" applyNumberFormat="1" applyFont="1" applyFill="1" applyBorder="1" applyAlignment="1">
      <alignment horizontal="center" vertical="center"/>
      <protection/>
    </xf>
    <xf numFmtId="3" fontId="10" fillId="7" borderId="31" xfId="89" applyNumberFormat="1" applyFont="1" applyFill="1" applyBorder="1" applyAlignment="1">
      <alignment horizontal="center" vertical="center"/>
      <protection/>
    </xf>
    <xf numFmtId="10" fontId="11" fillId="33" borderId="41" xfId="89" applyNumberFormat="1" applyFont="1" applyFill="1" applyBorder="1" applyAlignment="1">
      <alignment horizontal="center" vertical="center"/>
      <protection/>
    </xf>
    <xf numFmtId="3" fontId="10" fillId="33" borderId="27" xfId="89" applyNumberFormat="1" applyFont="1" applyFill="1" applyBorder="1" applyAlignment="1">
      <alignment horizontal="center" vertical="center"/>
      <protection/>
    </xf>
    <xf numFmtId="3" fontId="10" fillId="7" borderId="27" xfId="89" applyNumberFormat="1" applyFont="1" applyFill="1" applyBorder="1" applyAlignment="1">
      <alignment horizontal="center" vertical="center"/>
      <protection/>
    </xf>
    <xf numFmtId="10" fontId="11" fillId="33" borderId="42" xfId="89" applyNumberFormat="1" applyFont="1" applyFill="1" applyBorder="1" applyAlignment="1">
      <alignment horizontal="center" vertical="center"/>
      <protection/>
    </xf>
    <xf numFmtId="3" fontId="10" fillId="33" borderId="43" xfId="89" applyNumberFormat="1" applyFont="1" applyFill="1" applyBorder="1" applyAlignment="1">
      <alignment horizontal="center" vertical="center" wrapText="1"/>
      <protection/>
    </xf>
    <xf numFmtId="3" fontId="10" fillId="33" borderId="44" xfId="89" applyNumberFormat="1" applyFont="1" applyFill="1" applyBorder="1" applyAlignment="1">
      <alignment horizontal="center" vertical="center" wrapText="1"/>
      <protection/>
    </xf>
    <xf numFmtId="3" fontId="10" fillId="0" borderId="43" xfId="89" applyNumberFormat="1" applyFont="1" applyFill="1" applyBorder="1" applyAlignment="1">
      <alignment horizontal="center" vertical="center"/>
      <protection/>
    </xf>
    <xf numFmtId="3" fontId="10" fillId="7" borderId="43" xfId="89" applyNumberFormat="1" applyFont="1" applyFill="1" applyBorder="1" applyAlignment="1">
      <alignment horizontal="center" vertical="center"/>
      <protection/>
    </xf>
    <xf numFmtId="10" fontId="11" fillId="33" borderId="45" xfId="89" applyNumberFormat="1" applyFont="1" applyFill="1" applyBorder="1" applyAlignment="1">
      <alignment horizontal="center" vertical="center"/>
      <protection/>
    </xf>
    <xf numFmtId="6" fontId="10" fillId="33" borderId="14" xfId="89" applyNumberFormat="1" applyFont="1" applyFill="1" applyBorder="1" applyAlignment="1">
      <alignment horizontal="center" vertical="center"/>
      <protection/>
    </xf>
    <xf numFmtId="3" fontId="10" fillId="33" borderId="33" xfId="89" applyNumberFormat="1" applyFont="1" applyFill="1" applyBorder="1" applyAlignment="1">
      <alignment horizontal="center" vertical="center"/>
      <protection/>
    </xf>
    <xf numFmtId="3" fontId="10" fillId="7" borderId="33" xfId="89" applyNumberFormat="1" applyFont="1" applyFill="1" applyBorder="1" applyAlignment="1">
      <alignment horizontal="center" vertical="center"/>
      <protection/>
    </xf>
    <xf numFmtId="3" fontId="10" fillId="33" borderId="46" xfId="89" applyNumberFormat="1" applyFont="1" applyFill="1" applyBorder="1" applyAlignment="1">
      <alignment horizontal="center" vertical="center" wrapText="1"/>
      <protection/>
    </xf>
    <xf numFmtId="3" fontId="10" fillId="33" borderId="47" xfId="89" applyNumberFormat="1" applyFont="1" applyFill="1" applyBorder="1" applyAlignment="1">
      <alignment horizontal="center" vertical="center" wrapText="1"/>
      <protection/>
    </xf>
    <xf numFmtId="3" fontId="10" fillId="0" borderId="46" xfId="89" applyNumberFormat="1" applyFont="1" applyFill="1" applyBorder="1" applyAlignment="1">
      <alignment horizontal="center" vertical="center"/>
      <protection/>
    </xf>
    <xf numFmtId="3" fontId="10" fillId="7" borderId="46" xfId="89" applyNumberFormat="1" applyFont="1" applyFill="1" applyBorder="1" applyAlignment="1">
      <alignment horizontal="center" vertical="center"/>
      <protection/>
    </xf>
    <xf numFmtId="3" fontId="10" fillId="0" borderId="48" xfId="89" applyNumberFormat="1" applyFont="1" applyFill="1" applyBorder="1" applyAlignment="1">
      <alignment horizontal="center" vertical="center"/>
      <protection/>
    </xf>
    <xf numFmtId="8" fontId="10" fillId="33" borderId="46" xfId="89" applyNumberFormat="1" applyFont="1" applyFill="1" applyBorder="1" applyAlignment="1">
      <alignment horizontal="center" vertical="center"/>
      <protection/>
    </xf>
    <xf numFmtId="4" fontId="10" fillId="33" borderId="47" xfId="89" applyNumberFormat="1" applyFont="1" applyFill="1" applyBorder="1" applyAlignment="1">
      <alignment horizontal="center" vertical="center"/>
      <protection/>
    </xf>
    <xf numFmtId="4" fontId="10" fillId="7" borderId="47" xfId="89" applyNumberFormat="1" applyFont="1" applyFill="1" applyBorder="1" applyAlignment="1">
      <alignment horizontal="center" vertical="center"/>
      <protection/>
    </xf>
    <xf numFmtId="10" fontId="11" fillId="33" borderId="10" xfId="89" applyNumberFormat="1" applyFont="1" applyFill="1" applyBorder="1" applyAlignment="1">
      <alignment horizontal="center" vertical="center"/>
      <protection/>
    </xf>
    <xf numFmtId="0" fontId="10" fillId="33" borderId="0" xfId="89" applyFont="1" applyFill="1" applyBorder="1" applyAlignment="1">
      <alignment horizontal="left" vertical="center" wrapText="1"/>
      <protection/>
    </xf>
    <xf numFmtId="0" fontId="12" fillId="0" borderId="0" xfId="89" applyFont="1" applyFill="1" applyAlignment="1">
      <alignment horizontal="center" vertical="center" wrapText="1"/>
      <protection/>
    </xf>
    <xf numFmtId="1" fontId="10" fillId="0" borderId="49" xfId="89" applyNumberFormat="1" applyFont="1" applyFill="1" applyBorder="1" applyAlignment="1">
      <alignment horizontal="center" vertical="center"/>
      <protection/>
    </xf>
    <xf numFmtId="1" fontId="10" fillId="0" borderId="35" xfId="89" applyNumberFormat="1" applyFont="1" applyFill="1" applyBorder="1" applyAlignment="1">
      <alignment horizontal="center" vertical="center"/>
      <protection/>
    </xf>
    <xf numFmtId="1" fontId="10" fillId="0" borderId="50" xfId="89" applyNumberFormat="1" applyFont="1" applyFill="1" applyBorder="1" applyAlignment="1">
      <alignment horizontal="center" vertical="center"/>
      <protection/>
    </xf>
    <xf numFmtId="1" fontId="12" fillId="0" borderId="0" xfId="89" applyNumberFormat="1" applyFont="1" applyFill="1" applyAlignment="1">
      <alignment horizontal="center" vertical="center"/>
      <protection/>
    </xf>
    <xf numFmtId="0" fontId="25" fillId="33" borderId="51" xfId="89" applyFont="1" applyFill="1" applyBorder="1" applyAlignment="1">
      <alignment vertical="center"/>
      <protection/>
    </xf>
    <xf numFmtId="0" fontId="25" fillId="33" borderId="0" xfId="89" applyFont="1" applyFill="1" applyBorder="1" applyAlignment="1">
      <alignment vertical="center"/>
      <protection/>
    </xf>
    <xf numFmtId="0" fontId="26" fillId="33" borderId="0" xfId="89" applyFont="1" applyFill="1" applyBorder="1" applyAlignment="1">
      <alignment vertical="center"/>
      <protection/>
    </xf>
    <xf numFmtId="3" fontId="25" fillId="33" borderId="0" xfId="89" applyNumberFormat="1" applyFont="1" applyFill="1" applyBorder="1" applyAlignment="1">
      <alignment horizontal="center" vertical="center"/>
      <protection/>
    </xf>
    <xf numFmtId="0" fontId="27" fillId="33" borderId="0" xfId="89" applyFont="1" applyFill="1" applyBorder="1" applyAlignment="1">
      <alignment vertical="center"/>
      <protection/>
    </xf>
    <xf numFmtId="0" fontId="25" fillId="33" borderId="32" xfId="89" applyFont="1" applyFill="1" applyBorder="1" applyAlignment="1">
      <alignment vertical="center"/>
      <protection/>
    </xf>
    <xf numFmtId="0" fontId="25" fillId="33" borderId="31" xfId="89" applyFont="1" applyFill="1" applyBorder="1" applyAlignment="1">
      <alignment vertical="center"/>
      <protection/>
    </xf>
    <xf numFmtId="3" fontId="11" fillId="33" borderId="38" xfId="89" applyNumberFormat="1" applyFont="1" applyFill="1" applyBorder="1" applyAlignment="1">
      <alignment vertical="center"/>
      <protection/>
    </xf>
    <xf numFmtId="0" fontId="25" fillId="0" borderId="0" xfId="89" applyFont="1" applyFill="1" applyAlignment="1">
      <alignment vertical="center"/>
      <protection/>
    </xf>
    <xf numFmtId="0" fontId="25" fillId="33" borderId="15" xfId="89" applyFont="1" applyFill="1" applyBorder="1" applyAlignment="1">
      <alignment vertical="center"/>
      <protection/>
    </xf>
    <xf numFmtId="0" fontId="25" fillId="33" borderId="14" xfId="89" applyFont="1" applyFill="1" applyBorder="1" applyAlignment="1">
      <alignment vertical="center" wrapText="1"/>
      <protection/>
    </xf>
    <xf numFmtId="3" fontId="11" fillId="33" borderId="14" xfId="89" applyNumberFormat="1" applyFont="1" applyFill="1" applyBorder="1" applyAlignment="1">
      <alignment vertical="center"/>
      <protection/>
    </xf>
    <xf numFmtId="3" fontId="11" fillId="33" borderId="14" xfId="89" applyNumberFormat="1" applyFont="1" applyFill="1" applyBorder="1" applyAlignment="1">
      <alignment horizontal="center" vertical="center"/>
      <protection/>
    </xf>
    <xf numFmtId="0" fontId="25" fillId="33" borderId="52" xfId="89" applyFont="1" applyFill="1" applyBorder="1" applyAlignment="1">
      <alignment vertical="center"/>
      <protection/>
    </xf>
    <xf numFmtId="0" fontId="25" fillId="33" borderId="46" xfId="89" applyFont="1" applyFill="1" applyBorder="1" applyAlignment="1">
      <alignment vertical="center" wrapText="1"/>
      <protection/>
    </xf>
    <xf numFmtId="3" fontId="11" fillId="33" borderId="46" xfId="89" applyNumberFormat="1" applyFont="1" applyFill="1" applyBorder="1" applyAlignment="1">
      <alignment vertical="center"/>
      <protection/>
    </xf>
    <xf numFmtId="0" fontId="28" fillId="33" borderId="53" xfId="89" applyFont="1" applyFill="1" applyBorder="1" applyAlignment="1">
      <alignment vertical="center"/>
      <protection/>
    </xf>
    <xf numFmtId="0" fontId="28" fillId="33" borderId="50" xfId="89" applyFont="1" applyFill="1" applyBorder="1" applyAlignment="1">
      <alignment vertical="center" wrapText="1"/>
      <protection/>
    </xf>
    <xf numFmtId="3" fontId="27" fillId="33" borderId="50" xfId="89" applyNumberFormat="1" applyFont="1" applyFill="1" applyBorder="1" applyAlignment="1">
      <alignment horizontal="right" vertical="center"/>
      <protection/>
    </xf>
    <xf numFmtId="3" fontId="24" fillId="0" borderId="0" xfId="89" applyNumberFormat="1" applyFont="1" applyFill="1" applyAlignment="1">
      <alignment vertical="center"/>
      <protection/>
    </xf>
    <xf numFmtId="0" fontId="24" fillId="0" borderId="0" xfId="89" applyFont="1" applyFill="1" applyAlignment="1">
      <alignment vertical="center"/>
      <protection/>
    </xf>
    <xf numFmtId="3" fontId="25" fillId="33" borderId="0" xfId="89" applyNumberFormat="1" applyFont="1" applyFill="1" applyBorder="1" applyAlignment="1">
      <alignment horizontal="right" vertical="center"/>
      <protection/>
    </xf>
    <xf numFmtId="3" fontId="11" fillId="0" borderId="0" xfId="89" applyNumberFormat="1" applyFont="1" applyFill="1" applyAlignment="1">
      <alignment vertical="center"/>
      <protection/>
    </xf>
    <xf numFmtId="3" fontId="11" fillId="33" borderId="31" xfId="89" applyNumberFormat="1" applyFont="1" applyFill="1" applyBorder="1" applyAlignment="1">
      <alignment horizontal="right" vertical="center"/>
      <protection/>
    </xf>
    <xf numFmtId="0" fontId="25" fillId="33" borderId="14" xfId="89" applyFont="1" applyFill="1" applyBorder="1" applyAlignment="1">
      <alignment vertical="center"/>
      <protection/>
    </xf>
    <xf numFmtId="3" fontId="11" fillId="33" borderId="14" xfId="89" applyNumberFormat="1" applyFont="1" applyFill="1" applyBorder="1" applyAlignment="1">
      <alignment horizontal="right" vertical="center"/>
      <protection/>
    </xf>
    <xf numFmtId="0" fontId="25" fillId="33" borderId="46" xfId="89" applyFont="1" applyFill="1" applyBorder="1" applyAlignment="1">
      <alignment vertical="center"/>
      <protection/>
    </xf>
    <xf numFmtId="3" fontId="11" fillId="33" borderId="46" xfId="89" applyNumberFormat="1" applyFont="1" applyFill="1" applyBorder="1" applyAlignment="1">
      <alignment horizontal="right" vertical="center"/>
      <protection/>
    </xf>
    <xf numFmtId="3" fontId="25" fillId="0" borderId="0" xfId="89" applyNumberFormat="1" applyFont="1" applyFill="1" applyAlignment="1">
      <alignment vertical="center"/>
      <protection/>
    </xf>
    <xf numFmtId="0" fontId="25" fillId="33" borderId="21" xfId="89" applyFont="1" applyFill="1" applyBorder="1" applyAlignment="1">
      <alignment vertical="center"/>
      <protection/>
    </xf>
    <xf numFmtId="0" fontId="25" fillId="33" borderId="20" xfId="89" applyFont="1" applyFill="1" applyBorder="1" applyAlignment="1">
      <alignment vertical="center"/>
      <protection/>
    </xf>
    <xf numFmtId="0" fontId="25" fillId="33" borderId="44" xfId="89" applyFont="1" applyFill="1" applyBorder="1" applyAlignment="1">
      <alignment vertical="center"/>
      <protection/>
    </xf>
    <xf numFmtId="3" fontId="25" fillId="33" borderId="43" xfId="89" applyNumberFormat="1" applyFont="1" applyFill="1" applyBorder="1" applyAlignment="1">
      <alignment horizontal="right" vertical="center"/>
      <protection/>
    </xf>
    <xf numFmtId="0" fontId="25" fillId="33" borderId="43" xfId="89" applyFont="1" applyFill="1" applyBorder="1" applyAlignment="1">
      <alignment vertical="center"/>
      <protection/>
    </xf>
    <xf numFmtId="0" fontId="25" fillId="33" borderId="33" xfId="89" applyFont="1" applyFill="1" applyBorder="1" applyAlignment="1">
      <alignment vertical="center"/>
      <protection/>
    </xf>
    <xf numFmtId="0" fontId="25" fillId="33" borderId="54" xfId="89" applyFont="1" applyFill="1" applyBorder="1" applyAlignment="1">
      <alignment vertical="center"/>
      <protection/>
    </xf>
    <xf numFmtId="3" fontId="25" fillId="33" borderId="14" xfId="89" applyNumberFormat="1" applyFont="1" applyFill="1" applyBorder="1" applyAlignment="1">
      <alignment horizontal="right" vertical="center"/>
      <protection/>
    </xf>
    <xf numFmtId="3" fontId="25" fillId="33" borderId="54" xfId="89" applyNumberFormat="1" applyFont="1" applyFill="1" applyBorder="1" applyAlignment="1">
      <alignment horizontal="right" vertical="center"/>
      <protection/>
    </xf>
    <xf numFmtId="0" fontId="25" fillId="33" borderId="55" xfId="89" applyFont="1" applyFill="1" applyBorder="1" applyAlignment="1">
      <alignment vertical="center"/>
      <protection/>
    </xf>
    <xf numFmtId="0" fontId="25" fillId="33" borderId="56" xfId="89" applyFont="1" applyFill="1" applyBorder="1" applyAlignment="1">
      <alignment vertical="center"/>
      <protection/>
    </xf>
    <xf numFmtId="0" fontId="25" fillId="33" borderId="49" xfId="89" applyFont="1" applyFill="1" applyBorder="1" applyAlignment="1">
      <alignment vertical="center"/>
      <protection/>
    </xf>
    <xf numFmtId="0" fontId="25" fillId="33" borderId="36" xfId="89" applyFont="1" applyFill="1" applyBorder="1" applyAlignment="1">
      <alignment vertical="center"/>
      <protection/>
    </xf>
    <xf numFmtId="0" fontId="11" fillId="33" borderId="36" xfId="89" applyFont="1" applyFill="1" applyBorder="1" applyAlignment="1">
      <alignment vertical="center"/>
      <protection/>
    </xf>
    <xf numFmtId="0" fontId="11" fillId="33" borderId="57" xfId="89" applyFont="1" applyFill="1" applyBorder="1" applyAlignment="1">
      <alignment vertical="center"/>
      <protection/>
    </xf>
    <xf numFmtId="3" fontId="11" fillId="33" borderId="35" xfId="89" applyNumberFormat="1" applyFont="1" applyFill="1" applyBorder="1" applyAlignment="1">
      <alignment horizontal="right" vertical="center"/>
      <protection/>
    </xf>
    <xf numFmtId="0" fontId="25" fillId="0" borderId="15" xfId="89" applyFont="1" applyFill="1" applyBorder="1" applyAlignment="1">
      <alignment vertical="center"/>
      <protection/>
    </xf>
    <xf numFmtId="0" fontId="25" fillId="0" borderId="31" xfId="89" applyFont="1" applyFill="1" applyBorder="1" applyAlignment="1">
      <alignment vertical="center"/>
      <protection/>
    </xf>
    <xf numFmtId="0" fontId="25" fillId="33" borderId="38" xfId="89" applyFont="1" applyFill="1" applyBorder="1" applyAlignment="1">
      <alignment vertical="center"/>
      <protection/>
    </xf>
    <xf numFmtId="0" fontId="25" fillId="33" borderId="27" xfId="89" applyFont="1" applyFill="1" applyBorder="1" applyAlignment="1">
      <alignment vertical="center"/>
      <protection/>
    </xf>
    <xf numFmtId="0" fontId="25" fillId="33" borderId="58" xfId="89" applyFont="1" applyFill="1" applyBorder="1" applyAlignment="1">
      <alignment vertical="center"/>
      <protection/>
    </xf>
    <xf numFmtId="3" fontId="11" fillId="33" borderId="43" xfId="89" applyNumberFormat="1" applyFont="1" applyFill="1" applyBorder="1" applyAlignment="1">
      <alignment horizontal="right" vertical="center"/>
      <protection/>
    </xf>
    <xf numFmtId="0" fontId="25" fillId="0" borderId="33" xfId="89" applyFont="1" applyFill="1" applyBorder="1" applyAlignment="1">
      <alignment vertical="center"/>
      <protection/>
    </xf>
    <xf numFmtId="0" fontId="25" fillId="33" borderId="25" xfId="89" applyFont="1" applyFill="1" applyBorder="1" applyAlignment="1">
      <alignment vertical="center"/>
      <protection/>
    </xf>
    <xf numFmtId="3" fontId="11" fillId="33" borderId="54" xfId="89" applyNumberFormat="1" applyFont="1" applyFill="1" applyBorder="1" applyAlignment="1">
      <alignment horizontal="right" vertical="center"/>
      <protection/>
    </xf>
    <xf numFmtId="0" fontId="25" fillId="0" borderId="54" xfId="89" applyFont="1" applyFill="1" applyBorder="1" applyAlignment="1">
      <alignment vertical="center"/>
      <protection/>
    </xf>
    <xf numFmtId="0" fontId="25" fillId="0" borderId="26" xfId="89" applyFont="1" applyFill="1" applyBorder="1" applyAlignment="1">
      <alignment vertical="center"/>
      <protection/>
    </xf>
    <xf numFmtId="0" fontId="25" fillId="0" borderId="21" xfId="89" applyFont="1" applyFill="1" applyBorder="1" applyAlignment="1">
      <alignment vertical="center"/>
      <protection/>
    </xf>
    <xf numFmtId="0" fontId="25" fillId="0" borderId="59" xfId="89" applyFont="1" applyFill="1" applyBorder="1" applyAlignment="1">
      <alignment vertical="center"/>
      <protection/>
    </xf>
    <xf numFmtId="0" fontId="25" fillId="33" borderId="59" xfId="89" applyFont="1" applyFill="1" applyBorder="1" applyAlignment="1">
      <alignment vertical="center"/>
      <protection/>
    </xf>
    <xf numFmtId="0" fontId="25" fillId="33" borderId="60" xfId="89" applyFont="1" applyFill="1" applyBorder="1" applyAlignment="1">
      <alignment vertical="center"/>
      <protection/>
    </xf>
    <xf numFmtId="0" fontId="25" fillId="33" borderId="50" xfId="89" applyFont="1" applyFill="1" applyBorder="1" applyAlignment="1">
      <alignment vertical="center"/>
      <protection/>
    </xf>
    <xf numFmtId="0" fontId="25" fillId="33" borderId="47" xfId="89" applyFont="1" applyFill="1" applyBorder="1" applyAlignment="1">
      <alignment vertical="center"/>
      <protection/>
    </xf>
    <xf numFmtId="3" fontId="11" fillId="33" borderId="20" xfId="89" applyNumberFormat="1" applyFont="1" applyFill="1" applyBorder="1" applyAlignment="1">
      <alignment horizontal="right" vertical="center"/>
      <protection/>
    </xf>
    <xf numFmtId="0" fontId="25" fillId="33" borderId="61" xfId="89" applyFont="1" applyFill="1" applyBorder="1" applyAlignment="1">
      <alignment vertical="center"/>
      <protection/>
    </xf>
    <xf numFmtId="0" fontId="25" fillId="33" borderId="57" xfId="89" applyFont="1" applyFill="1" applyBorder="1" applyAlignment="1">
      <alignment vertical="center"/>
      <protection/>
    </xf>
    <xf numFmtId="3" fontId="11" fillId="0" borderId="35" xfId="47" applyNumberFormat="1" applyFont="1" applyFill="1" applyBorder="1" applyAlignment="1">
      <alignment horizontal="right" vertical="center"/>
      <protection/>
    </xf>
    <xf numFmtId="0" fontId="25" fillId="0" borderId="27" xfId="89" applyFont="1" applyFill="1" applyBorder="1" applyAlignment="1">
      <alignment vertical="center"/>
      <protection/>
    </xf>
    <xf numFmtId="0" fontId="25" fillId="0" borderId="62" xfId="89" applyFont="1" applyFill="1" applyBorder="1" applyAlignment="1">
      <alignment vertical="center"/>
      <protection/>
    </xf>
    <xf numFmtId="3" fontId="11" fillId="0" borderId="31" xfId="89" applyNumberFormat="1" applyFont="1" applyFill="1" applyBorder="1" applyAlignment="1">
      <alignment horizontal="right" vertical="center"/>
      <protection/>
    </xf>
    <xf numFmtId="0" fontId="25" fillId="0" borderId="56" xfId="89" applyFont="1" applyFill="1" applyBorder="1" applyAlignment="1">
      <alignment vertical="center"/>
      <protection/>
    </xf>
    <xf numFmtId="3" fontId="11" fillId="0" borderId="14" xfId="89" applyNumberFormat="1" applyFont="1" applyFill="1" applyBorder="1" applyAlignment="1">
      <alignment horizontal="right" vertical="center"/>
      <protection/>
    </xf>
    <xf numFmtId="0" fontId="25" fillId="33" borderId="63" xfId="89" applyFont="1" applyFill="1" applyBorder="1" applyAlignment="1">
      <alignment vertical="center"/>
      <protection/>
    </xf>
    <xf numFmtId="0" fontId="25" fillId="0" borderId="64" xfId="89" applyFont="1" applyFill="1" applyBorder="1" applyAlignment="1">
      <alignment vertical="center"/>
      <protection/>
    </xf>
    <xf numFmtId="3" fontId="11" fillId="0" borderId="43" xfId="89" applyNumberFormat="1" applyFont="1" applyFill="1" applyBorder="1" applyAlignment="1">
      <alignment horizontal="right" vertical="center"/>
      <protection/>
    </xf>
    <xf numFmtId="0" fontId="25" fillId="0" borderId="44" xfId="89" applyFont="1" applyFill="1" applyBorder="1" applyAlignment="1">
      <alignment vertical="center"/>
      <protection/>
    </xf>
    <xf numFmtId="0" fontId="28" fillId="33" borderId="65" xfId="89" applyFont="1" applyFill="1" applyBorder="1" applyAlignment="1">
      <alignment vertical="center" wrapText="1"/>
      <protection/>
    </xf>
    <xf numFmtId="0" fontId="27" fillId="33" borderId="65" xfId="89" applyFont="1" applyFill="1" applyBorder="1" applyAlignment="1">
      <alignment vertical="center"/>
      <protection/>
    </xf>
    <xf numFmtId="0" fontId="27" fillId="33" borderId="66" xfId="89" applyFont="1" applyFill="1" applyBorder="1" applyAlignment="1">
      <alignment vertical="center" wrapText="1"/>
      <protection/>
    </xf>
    <xf numFmtId="3" fontId="28" fillId="33" borderId="32" xfId="89" applyNumberFormat="1" applyFont="1" applyFill="1" applyBorder="1" applyAlignment="1">
      <alignment vertical="center"/>
      <protection/>
    </xf>
    <xf numFmtId="3" fontId="28" fillId="33" borderId="31" xfId="89" applyNumberFormat="1" applyFont="1" applyFill="1" applyBorder="1" applyAlignment="1">
      <alignment vertical="center"/>
      <protection/>
    </xf>
    <xf numFmtId="0" fontId="12" fillId="33" borderId="27" xfId="89" applyFont="1" applyFill="1" applyBorder="1" applyAlignment="1">
      <alignment vertical="center"/>
      <protection/>
    </xf>
    <xf numFmtId="3" fontId="24" fillId="33" borderId="62" xfId="89" applyNumberFormat="1" applyFont="1" applyFill="1" applyBorder="1" applyAlignment="1">
      <alignment vertical="center"/>
      <protection/>
    </xf>
    <xf numFmtId="0" fontId="24" fillId="33" borderId="62" xfId="89" applyFont="1" applyFill="1" applyBorder="1" applyAlignment="1">
      <alignment vertical="center"/>
      <protection/>
    </xf>
    <xf numFmtId="3" fontId="12" fillId="33" borderId="31" xfId="89" applyNumberFormat="1" applyFont="1" applyFill="1" applyBorder="1" applyAlignment="1">
      <alignment horizontal="right" vertical="center"/>
      <protection/>
    </xf>
    <xf numFmtId="0" fontId="27" fillId="33" borderId="15" xfId="89" applyFont="1" applyFill="1" applyBorder="1" applyAlignment="1">
      <alignment vertical="center"/>
      <protection/>
    </xf>
    <xf numFmtId="0" fontId="27" fillId="33" borderId="14" xfId="89" applyFont="1" applyFill="1" applyBorder="1" applyAlignment="1">
      <alignment vertical="center"/>
      <protection/>
    </xf>
    <xf numFmtId="0" fontId="11" fillId="33" borderId="33" xfId="89" applyFont="1" applyFill="1" applyBorder="1" applyAlignment="1">
      <alignment vertical="center"/>
      <protection/>
    </xf>
    <xf numFmtId="0" fontId="12" fillId="33" borderId="54" xfId="89" applyFont="1" applyFill="1" applyBorder="1" applyAlignment="1">
      <alignment vertical="center"/>
      <protection/>
    </xf>
    <xf numFmtId="0" fontId="12" fillId="33" borderId="15" xfId="89" applyFont="1" applyFill="1" applyBorder="1" applyAlignment="1">
      <alignment vertical="center"/>
      <protection/>
    </xf>
    <xf numFmtId="0" fontId="12" fillId="33" borderId="14" xfId="89" applyFont="1" applyFill="1" applyBorder="1" applyAlignment="1">
      <alignment vertical="center"/>
      <protection/>
    </xf>
    <xf numFmtId="3" fontId="12" fillId="33" borderId="14" xfId="89" applyNumberFormat="1" applyFont="1" applyFill="1" applyBorder="1" applyAlignment="1">
      <alignment horizontal="right" vertical="center"/>
      <protection/>
    </xf>
    <xf numFmtId="0" fontId="12" fillId="33" borderId="52" xfId="89" applyFont="1" applyFill="1" applyBorder="1" applyAlignment="1">
      <alignment vertical="center"/>
      <protection/>
    </xf>
    <xf numFmtId="0" fontId="12" fillId="33" borderId="46" xfId="89" applyFont="1" applyFill="1" applyBorder="1" applyAlignment="1">
      <alignment vertical="center"/>
      <protection/>
    </xf>
    <xf numFmtId="3" fontId="24" fillId="33" borderId="46" xfId="89" applyNumberFormat="1" applyFont="1" applyFill="1" applyBorder="1" applyAlignment="1">
      <alignment horizontal="right" vertical="center"/>
      <protection/>
    </xf>
    <xf numFmtId="0" fontId="10" fillId="0" borderId="0" xfId="89" applyFont="1" applyFill="1" applyBorder="1" applyAlignment="1">
      <alignment vertical="center"/>
      <protection/>
    </xf>
    <xf numFmtId="191" fontId="10" fillId="0" borderId="0" xfId="89" applyNumberFormat="1" applyFont="1" applyFill="1" applyBorder="1" applyAlignment="1">
      <alignment vertical="center"/>
      <protection/>
    </xf>
    <xf numFmtId="3" fontId="10" fillId="0" borderId="0" xfId="89" applyNumberFormat="1" applyFont="1" applyFill="1" applyBorder="1" applyAlignment="1">
      <alignment vertical="center"/>
      <protection/>
    </xf>
    <xf numFmtId="191" fontId="11" fillId="0" borderId="0" xfId="89" applyNumberFormat="1" applyFont="1" applyFill="1" applyBorder="1" applyAlignment="1">
      <alignment vertical="center"/>
      <protection/>
    </xf>
    <xf numFmtId="3" fontId="10" fillId="0" borderId="0" xfId="89" applyNumberFormat="1" applyFont="1" applyFill="1" applyBorder="1" applyAlignment="1">
      <alignment horizontal="right" vertical="center"/>
      <protection/>
    </xf>
    <xf numFmtId="0" fontId="11" fillId="0" borderId="0" xfId="47" applyFont="1" applyFill="1" applyAlignment="1">
      <alignment vertical="center"/>
      <protection/>
    </xf>
    <xf numFmtId="191" fontId="10" fillId="0" borderId="0" xfId="89" applyNumberFormat="1" applyFont="1" applyFill="1" applyBorder="1" applyAlignment="1">
      <alignment horizontal="right" vertical="center"/>
      <protection/>
    </xf>
    <xf numFmtId="0" fontId="34" fillId="0" borderId="0" xfId="0" applyFont="1" applyAlignment="1">
      <alignment vertical="center"/>
    </xf>
    <xf numFmtId="0" fontId="94" fillId="0" borderId="0" xfId="0" applyFont="1" applyAlignment="1">
      <alignment vertical="center"/>
    </xf>
    <xf numFmtId="0" fontId="96" fillId="0" borderId="0" xfId="0" applyFont="1" applyAlignment="1">
      <alignment vertical="center"/>
    </xf>
    <xf numFmtId="3" fontId="96" fillId="0" borderId="0" xfId="0" applyNumberFormat="1" applyFont="1" applyAlignment="1">
      <alignment vertical="center"/>
    </xf>
    <xf numFmtId="0" fontId="96" fillId="0" borderId="0" xfId="0" applyFont="1" applyAlignment="1">
      <alignment horizontal="right" vertical="center"/>
    </xf>
    <xf numFmtId="0" fontId="34" fillId="0" borderId="67"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5" xfId="0" applyFont="1" applyBorder="1" applyAlignment="1">
      <alignment horizontal="center" vertical="center" wrapText="1"/>
    </xf>
    <xf numFmtId="3" fontId="96" fillId="0" borderId="35" xfId="0" applyNumberFormat="1" applyFont="1" applyBorder="1" applyAlignment="1">
      <alignment horizontal="center" vertical="center" wrapText="1"/>
    </xf>
    <xf numFmtId="3" fontId="96" fillId="0" borderId="37" xfId="0" applyNumberFormat="1" applyFont="1" applyBorder="1" applyAlignment="1">
      <alignment horizontal="center" vertical="center" wrapText="1"/>
    </xf>
    <xf numFmtId="0" fontId="0" fillId="0" borderId="41" xfId="47" applyFont="1" applyFill="1" applyBorder="1" applyAlignment="1">
      <alignment vertical="center"/>
      <protection/>
    </xf>
    <xf numFmtId="3" fontId="0" fillId="0" borderId="64" xfId="0" applyNumberFormat="1" applyFont="1" applyBorder="1" applyAlignment="1">
      <alignment vertical="center"/>
    </xf>
    <xf numFmtId="3" fontId="0" fillId="0" borderId="43" xfId="0" applyNumberFormat="1" applyFont="1" applyBorder="1" applyAlignment="1">
      <alignment vertical="center"/>
    </xf>
    <xf numFmtId="3" fontId="0" fillId="0" borderId="41" xfId="0" applyNumberFormat="1" applyFont="1" applyBorder="1" applyAlignment="1">
      <alignment vertical="center"/>
    </xf>
    <xf numFmtId="3" fontId="0" fillId="0" borderId="0" xfId="0" applyNumberFormat="1" applyAlignment="1">
      <alignment vertical="center"/>
    </xf>
    <xf numFmtId="0" fontId="0" fillId="0" borderId="45" xfId="47" applyFont="1" applyFill="1" applyBorder="1" applyAlignment="1">
      <alignment vertical="center"/>
      <protection/>
    </xf>
    <xf numFmtId="3" fontId="0" fillId="0" borderId="13" xfId="0" applyNumberFormat="1" applyFont="1" applyBorder="1" applyAlignment="1">
      <alignment vertical="center"/>
    </xf>
    <xf numFmtId="3" fontId="0" fillId="0" borderId="14" xfId="0" applyNumberFormat="1" applyFont="1" applyBorder="1" applyAlignment="1">
      <alignment vertical="center"/>
    </xf>
    <xf numFmtId="3" fontId="0" fillId="0" borderId="45" xfId="0" applyNumberFormat="1" applyFont="1" applyBorder="1" applyAlignment="1">
      <alignment vertical="center"/>
    </xf>
    <xf numFmtId="0" fontId="0" fillId="0" borderId="68" xfId="47" applyFont="1" applyFill="1" applyBorder="1" applyAlignment="1">
      <alignment vertical="center"/>
      <protection/>
    </xf>
    <xf numFmtId="3" fontId="0" fillId="0" borderId="19" xfId="0" applyNumberFormat="1" applyFont="1" applyBorder="1" applyAlignment="1">
      <alignment vertical="center"/>
    </xf>
    <xf numFmtId="3" fontId="0" fillId="0" borderId="20" xfId="0" applyNumberFormat="1" applyFont="1" applyBorder="1" applyAlignment="1">
      <alignment vertical="center"/>
    </xf>
    <xf numFmtId="3" fontId="0" fillId="0" borderId="68" xfId="0" applyNumberFormat="1" applyFont="1" applyBorder="1" applyAlignment="1">
      <alignment vertical="center"/>
    </xf>
    <xf numFmtId="3" fontId="34" fillId="0" borderId="67" xfId="0" applyNumberFormat="1" applyFont="1" applyBorder="1" applyAlignment="1">
      <alignment vertical="center"/>
    </xf>
    <xf numFmtId="3" fontId="34" fillId="0" borderId="35" xfId="0" applyNumberFormat="1" applyFont="1" applyBorder="1" applyAlignment="1">
      <alignment vertical="center"/>
    </xf>
    <xf numFmtId="3" fontId="34" fillId="0" borderId="37" xfId="0" applyNumberFormat="1" applyFont="1" applyBorder="1" applyAlignment="1">
      <alignment vertical="center"/>
    </xf>
    <xf numFmtId="49" fontId="0" fillId="0" borderId="0" xfId="0" applyNumberFormat="1" applyFont="1" applyAlignment="1">
      <alignment horizontal="right" vertical="top" wrapText="1"/>
    </xf>
    <xf numFmtId="176" fontId="36" fillId="0" borderId="0" xfId="47" applyNumberFormat="1" applyFont="1" applyAlignment="1">
      <alignment horizontal="right" vertical="center"/>
      <protection/>
    </xf>
    <xf numFmtId="0" fontId="36" fillId="0" borderId="0" xfId="47" applyFont="1" applyFill="1" applyBorder="1" applyAlignment="1">
      <alignment vertical="center"/>
      <protection/>
    </xf>
    <xf numFmtId="1" fontId="34" fillId="0" borderId="0" xfId="47" applyNumberFormat="1" applyFont="1" applyAlignment="1">
      <alignment horizontal="center" vertical="center"/>
      <protection/>
    </xf>
    <xf numFmtId="176" fontId="37" fillId="0" borderId="0" xfId="47" applyNumberFormat="1" applyFont="1" applyAlignment="1">
      <alignment vertical="center"/>
      <protection/>
    </xf>
    <xf numFmtId="176" fontId="37" fillId="0" borderId="0" xfId="47" applyNumberFormat="1" applyFont="1" applyAlignment="1">
      <alignment vertical="center" wrapText="1"/>
      <protection/>
    </xf>
    <xf numFmtId="0" fontId="11" fillId="0" borderId="0" xfId="47" applyFont="1" applyAlignment="1">
      <alignment horizontal="center" vertical="center"/>
      <protection/>
    </xf>
    <xf numFmtId="0" fontId="74" fillId="0" borderId="0" xfId="80" applyFill="1" applyAlignment="1">
      <alignment vertical="center"/>
      <protection/>
    </xf>
    <xf numFmtId="176" fontId="36" fillId="0" borderId="0" xfId="47" applyNumberFormat="1" applyFont="1" applyAlignment="1">
      <alignment vertical="center" wrapText="1"/>
      <protection/>
    </xf>
    <xf numFmtId="0" fontId="34" fillId="0" borderId="69" xfId="47" applyFont="1" applyFill="1" applyBorder="1" applyAlignment="1">
      <alignment horizontal="center" vertical="center" wrapText="1"/>
      <protection/>
    </xf>
    <xf numFmtId="176" fontId="34" fillId="0" borderId="70" xfId="47" applyNumberFormat="1" applyFont="1" applyFill="1" applyBorder="1" applyAlignment="1">
      <alignment horizontal="center" vertical="center" wrapText="1"/>
      <protection/>
    </xf>
    <xf numFmtId="176" fontId="0" fillId="0" borderId="71" xfId="47" applyNumberFormat="1" applyFont="1" applyFill="1" applyBorder="1" applyAlignment="1">
      <alignment horizontal="center" vertical="center" wrapText="1"/>
      <protection/>
    </xf>
    <xf numFmtId="0" fontId="0" fillId="0" borderId="72" xfId="47" applyFont="1" applyFill="1" applyBorder="1" applyAlignment="1">
      <alignment horizontal="center" vertical="center" wrapText="1"/>
      <protection/>
    </xf>
    <xf numFmtId="0" fontId="0" fillId="0" borderId="73" xfId="47" applyFill="1" applyBorder="1" applyAlignment="1">
      <alignment horizontal="center" vertical="center" wrapText="1"/>
      <protection/>
    </xf>
    <xf numFmtId="0" fontId="0" fillId="0" borderId="69" xfId="47" applyFill="1" applyBorder="1" applyAlignment="1">
      <alignment horizontal="center" vertical="center" wrapText="1"/>
      <protection/>
    </xf>
    <xf numFmtId="0" fontId="0" fillId="0" borderId="74" xfId="47" applyFill="1" applyBorder="1" applyAlignment="1">
      <alignment horizontal="center" vertical="center" wrapText="1"/>
      <protection/>
    </xf>
    <xf numFmtId="176" fontId="34" fillId="0" borderId="69" xfId="47" applyNumberFormat="1" applyFont="1" applyFill="1" applyBorder="1" applyAlignment="1">
      <alignment horizontal="center" vertical="center" wrapText="1"/>
      <protection/>
    </xf>
    <xf numFmtId="3" fontId="0" fillId="0" borderId="69" xfId="47" applyNumberFormat="1" applyFill="1" applyBorder="1" applyAlignment="1">
      <alignment horizontal="center" vertical="center" wrapText="1"/>
      <protection/>
    </xf>
    <xf numFmtId="0" fontId="0" fillId="0" borderId="75" xfId="47" applyFill="1" applyBorder="1" applyAlignment="1">
      <alignment horizontal="center" vertical="center" wrapText="1"/>
      <protection/>
    </xf>
    <xf numFmtId="176" fontId="34" fillId="0" borderId="73" xfId="47" applyNumberFormat="1" applyFont="1" applyFill="1" applyBorder="1" applyAlignment="1">
      <alignment horizontal="center" vertical="center" wrapText="1"/>
      <protection/>
    </xf>
    <xf numFmtId="0" fontId="0" fillId="0" borderId="76" xfId="47" applyFill="1" applyBorder="1" applyAlignment="1">
      <alignment horizontal="center" vertical="center" wrapText="1"/>
      <protection/>
    </xf>
    <xf numFmtId="0" fontId="0" fillId="0" borderId="77" xfId="47" applyFill="1" applyBorder="1" applyAlignment="1">
      <alignment horizontal="center" vertical="center" wrapText="1"/>
      <protection/>
    </xf>
    <xf numFmtId="0" fontId="0" fillId="0" borderId="14" xfId="47" applyBorder="1" applyAlignment="1">
      <alignment horizontal="center" vertical="center"/>
      <protection/>
    </xf>
    <xf numFmtId="0" fontId="0" fillId="0" borderId="33" xfId="47" applyBorder="1" applyAlignment="1">
      <alignment horizontal="center" vertical="center"/>
      <protection/>
    </xf>
    <xf numFmtId="0" fontId="0" fillId="0" borderId="78" xfId="47" applyBorder="1" applyAlignment="1">
      <alignment horizontal="center" vertical="center"/>
      <protection/>
    </xf>
    <xf numFmtId="0" fontId="0" fillId="0" borderId="79" xfId="47" applyBorder="1" applyAlignment="1">
      <alignment horizontal="center" vertical="center"/>
      <protection/>
    </xf>
    <xf numFmtId="0" fontId="0" fillId="0" borderId="13" xfId="47" applyBorder="1" applyAlignment="1">
      <alignment horizontal="center" vertical="center"/>
      <protection/>
    </xf>
    <xf numFmtId="3" fontId="0" fillId="0" borderId="14" xfId="47" applyNumberFormat="1" applyBorder="1" applyAlignment="1">
      <alignment horizontal="center" vertical="center"/>
      <protection/>
    </xf>
    <xf numFmtId="0" fontId="0" fillId="0" borderId="54" xfId="47" applyBorder="1" applyAlignment="1">
      <alignment horizontal="center" vertical="center"/>
      <protection/>
    </xf>
    <xf numFmtId="0" fontId="0" fillId="0" borderId="80" xfId="47" applyBorder="1" applyAlignment="1">
      <alignment horizontal="center" vertical="center"/>
      <protection/>
    </xf>
    <xf numFmtId="0" fontId="0" fillId="0" borderId="81" xfId="47" applyBorder="1" applyAlignment="1">
      <alignment horizontal="center" vertical="center"/>
      <protection/>
    </xf>
    <xf numFmtId="0" fontId="0" fillId="0" borderId="14" xfId="47" applyBorder="1" applyAlignment="1">
      <alignment vertical="center"/>
      <protection/>
    </xf>
    <xf numFmtId="0" fontId="0" fillId="0" borderId="33" xfId="47" applyBorder="1" applyAlignment="1">
      <alignment vertical="center"/>
      <protection/>
    </xf>
    <xf numFmtId="176" fontId="0" fillId="0" borderId="82" xfId="47" applyNumberFormat="1" applyBorder="1" applyAlignment="1">
      <alignment horizontal="center" vertical="center"/>
      <protection/>
    </xf>
    <xf numFmtId="0" fontId="0" fillId="0" borderId="78" xfId="47" applyBorder="1" applyAlignment="1">
      <alignment vertical="center"/>
      <protection/>
    </xf>
    <xf numFmtId="0" fontId="0" fillId="0" borderId="79" xfId="47" applyBorder="1" applyAlignment="1">
      <alignment vertical="center"/>
      <protection/>
    </xf>
    <xf numFmtId="0" fontId="0" fillId="0" borderId="13" xfId="47" applyBorder="1" applyAlignment="1">
      <alignment vertical="center"/>
      <protection/>
    </xf>
    <xf numFmtId="3" fontId="0" fillId="0" borderId="14" xfId="47" applyNumberFormat="1" applyBorder="1" applyAlignment="1">
      <alignment vertical="center"/>
      <protection/>
    </xf>
    <xf numFmtId="0" fontId="0" fillId="0" borderId="54" xfId="47" applyBorder="1" applyAlignment="1">
      <alignment vertical="center"/>
      <protection/>
    </xf>
    <xf numFmtId="0" fontId="0" fillId="0" borderId="80" xfId="47" applyBorder="1" applyAlignment="1">
      <alignment vertical="center"/>
      <protection/>
    </xf>
    <xf numFmtId="0" fontId="0" fillId="0" borderId="81" xfId="47" applyBorder="1" applyAlignment="1">
      <alignment vertical="center"/>
      <protection/>
    </xf>
    <xf numFmtId="0" fontId="0" fillId="0" borderId="14" xfId="47" applyFill="1" applyBorder="1" applyAlignment="1">
      <alignment vertical="center"/>
      <protection/>
    </xf>
    <xf numFmtId="0" fontId="0" fillId="0" borderId="33" xfId="47" applyFill="1" applyBorder="1" applyAlignment="1">
      <alignment vertical="center"/>
      <protection/>
    </xf>
    <xf numFmtId="176" fontId="0" fillId="0" borderId="82" xfId="47" applyNumberFormat="1" applyBorder="1" applyAlignment="1">
      <alignment vertical="center"/>
      <protection/>
    </xf>
    <xf numFmtId="176" fontId="0" fillId="0" borderId="78" xfId="47" applyNumberFormat="1" applyBorder="1" applyAlignment="1">
      <alignment vertical="center"/>
      <protection/>
    </xf>
    <xf numFmtId="176" fontId="0" fillId="0" borderId="83" xfId="47" applyNumberFormat="1" applyBorder="1" applyAlignment="1">
      <alignment vertical="center"/>
      <protection/>
    </xf>
    <xf numFmtId="3" fontId="0" fillId="0" borderId="13" xfId="47" applyNumberFormat="1" applyBorder="1" applyAlignment="1">
      <alignment vertical="center"/>
      <protection/>
    </xf>
    <xf numFmtId="183" fontId="0" fillId="0" borderId="14" xfId="47" applyNumberFormat="1" applyBorder="1" applyAlignment="1">
      <alignment vertical="center"/>
      <protection/>
    </xf>
    <xf numFmtId="176" fontId="0" fillId="0" borderId="14" xfId="47" applyNumberFormat="1" applyBorder="1" applyAlignment="1">
      <alignment vertical="center"/>
      <protection/>
    </xf>
    <xf numFmtId="176" fontId="0" fillId="0" borderId="54" xfId="47" applyNumberFormat="1" applyBorder="1" applyAlignment="1">
      <alignment vertical="center"/>
      <protection/>
    </xf>
    <xf numFmtId="3" fontId="0" fillId="0" borderId="80" xfId="47" applyNumberFormat="1" applyFill="1" applyBorder="1" applyAlignment="1">
      <alignment vertical="center"/>
      <protection/>
    </xf>
    <xf numFmtId="3" fontId="0" fillId="0" borderId="81" xfId="47" applyNumberFormat="1" applyFill="1" applyBorder="1" applyAlignment="1">
      <alignment vertical="center"/>
      <protection/>
    </xf>
    <xf numFmtId="0" fontId="38" fillId="0" borderId="20" xfId="47" applyFont="1" applyFill="1" applyBorder="1" applyAlignment="1">
      <alignment vertical="center"/>
      <protection/>
    </xf>
    <xf numFmtId="0" fontId="0" fillId="0" borderId="59" xfId="47" applyFont="1" applyFill="1" applyBorder="1" applyAlignment="1">
      <alignment vertical="center"/>
      <protection/>
    </xf>
    <xf numFmtId="176" fontId="0" fillId="0" borderId="82" xfId="47" applyNumberFormat="1" applyFill="1" applyBorder="1" applyAlignment="1">
      <alignment vertical="center"/>
      <protection/>
    </xf>
    <xf numFmtId="176" fontId="0" fillId="0" borderId="78" xfId="47" applyNumberFormat="1" applyFill="1" applyBorder="1" applyAlignment="1">
      <alignment vertical="center"/>
      <protection/>
    </xf>
    <xf numFmtId="4" fontId="0" fillId="0" borderId="14" xfId="47" applyNumberFormat="1" applyBorder="1" applyAlignment="1">
      <alignment vertical="center"/>
      <protection/>
    </xf>
    <xf numFmtId="183" fontId="0" fillId="0" borderId="14" xfId="47" applyNumberFormat="1" applyFill="1" applyBorder="1" applyAlignment="1">
      <alignment vertical="center"/>
      <protection/>
    </xf>
    <xf numFmtId="4" fontId="0" fillId="0" borderId="83" xfId="47" applyNumberFormat="1" applyBorder="1" applyAlignment="1">
      <alignment vertical="center"/>
      <protection/>
    </xf>
    <xf numFmtId="0" fontId="0" fillId="0" borderId="20" xfId="47" applyFill="1" applyBorder="1" applyAlignment="1">
      <alignment vertical="center"/>
      <protection/>
    </xf>
    <xf numFmtId="0" fontId="0" fillId="0" borderId="59" xfId="47" applyFill="1" applyBorder="1" applyAlignment="1">
      <alignment vertical="center"/>
      <protection/>
    </xf>
    <xf numFmtId="0" fontId="34" fillId="36" borderId="35" xfId="47" applyFont="1" applyFill="1" applyBorder="1" applyAlignment="1">
      <alignment vertical="center"/>
      <protection/>
    </xf>
    <xf numFmtId="0" fontId="34" fillId="36" borderId="36" xfId="47" applyFont="1" applyFill="1" applyBorder="1" applyAlignment="1">
      <alignment vertical="center"/>
      <protection/>
    </xf>
    <xf numFmtId="176" fontId="0" fillId="36" borderId="84" xfId="47" applyNumberFormat="1" applyFill="1" applyBorder="1" applyAlignment="1">
      <alignment vertical="center"/>
      <protection/>
    </xf>
    <xf numFmtId="176" fontId="0" fillId="36" borderId="85" xfId="47" applyNumberFormat="1" applyFill="1" applyBorder="1" applyAlignment="1">
      <alignment vertical="center"/>
      <protection/>
    </xf>
    <xf numFmtId="3" fontId="0" fillId="36" borderId="35" xfId="47" applyNumberFormat="1" applyFill="1" applyBorder="1" applyAlignment="1">
      <alignment vertical="center"/>
      <protection/>
    </xf>
    <xf numFmtId="3" fontId="0" fillId="36" borderId="67" xfId="47" applyNumberFormat="1" applyFill="1" applyBorder="1" applyAlignment="1">
      <alignment vertical="center"/>
      <protection/>
    </xf>
    <xf numFmtId="3" fontId="0" fillId="36" borderId="86" xfId="47" applyNumberFormat="1" applyFill="1" applyBorder="1" applyAlignment="1">
      <alignment vertical="center"/>
      <protection/>
    </xf>
    <xf numFmtId="3" fontId="0" fillId="36" borderId="87" xfId="47" applyNumberFormat="1" applyFill="1" applyBorder="1" applyAlignment="1">
      <alignment vertical="center"/>
      <protection/>
    </xf>
    <xf numFmtId="3" fontId="0" fillId="36" borderId="88" xfId="47" applyNumberFormat="1" applyFill="1" applyBorder="1" applyAlignment="1">
      <alignment vertical="center"/>
      <protection/>
    </xf>
    <xf numFmtId="3" fontId="0" fillId="36" borderId="89" xfId="47" applyNumberFormat="1" applyFill="1" applyBorder="1" applyAlignment="1">
      <alignment vertical="center"/>
      <protection/>
    </xf>
    <xf numFmtId="0" fontId="0" fillId="0" borderId="43" xfId="47" applyBorder="1" applyAlignment="1">
      <alignment vertical="center"/>
      <protection/>
    </xf>
    <xf numFmtId="4" fontId="0" fillId="0" borderId="14" xfId="47" applyNumberFormat="1" applyFill="1" applyBorder="1" applyAlignment="1">
      <alignment vertical="center"/>
      <protection/>
    </xf>
    <xf numFmtId="0" fontId="0" fillId="0" borderId="20" xfId="47" applyBorder="1" applyAlignment="1">
      <alignment vertical="center"/>
      <protection/>
    </xf>
    <xf numFmtId="0" fontId="0" fillId="0" borderId="43" xfId="47" applyFill="1" applyBorder="1" applyAlignment="1">
      <alignment vertical="center"/>
      <protection/>
    </xf>
    <xf numFmtId="0" fontId="0" fillId="0" borderId="31" xfId="47" applyFill="1" applyBorder="1" applyAlignment="1">
      <alignment vertical="center"/>
      <protection/>
    </xf>
    <xf numFmtId="0" fontId="38" fillId="0" borderId="14" xfId="47" applyFont="1" applyFill="1" applyBorder="1" applyAlignment="1">
      <alignment vertical="center"/>
      <protection/>
    </xf>
    <xf numFmtId="0" fontId="0" fillId="0" borderId="43" xfId="47" applyFont="1" applyFill="1" applyBorder="1" applyAlignment="1">
      <alignment vertical="center"/>
      <protection/>
    </xf>
    <xf numFmtId="0" fontId="0" fillId="0" borderId="14" xfId="47" applyFont="1" applyFill="1" applyBorder="1" applyAlignment="1">
      <alignment vertical="center"/>
      <protection/>
    </xf>
    <xf numFmtId="0" fontId="0" fillId="0" borderId="20" xfId="47" applyFont="1" applyFill="1" applyBorder="1" applyAlignment="1">
      <alignment vertical="center"/>
      <protection/>
    </xf>
    <xf numFmtId="176" fontId="0" fillId="0" borderId="90" xfId="47" applyNumberFormat="1" applyBorder="1" applyAlignment="1">
      <alignment vertical="center"/>
      <protection/>
    </xf>
    <xf numFmtId="176" fontId="0" fillId="0" borderId="91" xfId="47" applyNumberFormat="1" applyBorder="1" applyAlignment="1">
      <alignment vertical="center"/>
      <protection/>
    </xf>
    <xf numFmtId="176" fontId="0" fillId="0" borderId="92" xfId="47" applyNumberFormat="1" applyBorder="1" applyAlignment="1">
      <alignment vertical="center"/>
      <protection/>
    </xf>
    <xf numFmtId="176" fontId="0" fillId="36" borderId="93" xfId="47" applyNumberFormat="1" applyFill="1" applyBorder="1" applyAlignment="1">
      <alignment vertical="center"/>
      <protection/>
    </xf>
    <xf numFmtId="0" fontId="34" fillId="37" borderId="94" xfId="47" applyFont="1" applyFill="1" applyBorder="1" applyAlignment="1">
      <alignment vertical="center"/>
      <protection/>
    </xf>
    <xf numFmtId="0" fontId="34" fillId="37" borderId="44" xfId="47" applyFont="1" applyFill="1" applyBorder="1" applyAlignment="1">
      <alignment vertical="center"/>
      <protection/>
    </xf>
    <xf numFmtId="176" fontId="0" fillId="37" borderId="95" xfId="47" applyNumberFormat="1" applyFill="1" applyBorder="1" applyAlignment="1">
      <alignment vertical="center"/>
      <protection/>
    </xf>
    <xf numFmtId="176" fontId="0" fillId="37" borderId="96" xfId="47" applyNumberFormat="1" applyFill="1" applyBorder="1" applyAlignment="1">
      <alignment vertical="center"/>
      <protection/>
    </xf>
    <xf numFmtId="176" fontId="0" fillId="37" borderId="56" xfId="47" applyNumberFormat="1" applyFill="1" applyBorder="1" applyAlignment="1">
      <alignment vertical="center"/>
      <protection/>
    </xf>
    <xf numFmtId="176" fontId="0" fillId="37" borderId="31" xfId="47" applyNumberFormat="1" applyFill="1" applyBorder="1" applyAlignment="1">
      <alignment vertical="center"/>
      <protection/>
    </xf>
    <xf numFmtId="176" fontId="0" fillId="37" borderId="97" xfId="47" applyNumberFormat="1" applyFill="1" applyBorder="1" applyAlignment="1">
      <alignment vertical="center"/>
      <protection/>
    </xf>
    <xf numFmtId="176" fontId="0" fillId="37" borderId="98" xfId="47" applyNumberFormat="1" applyFill="1" applyBorder="1" applyAlignment="1">
      <alignment vertical="center"/>
      <protection/>
    </xf>
    <xf numFmtId="0" fontId="34" fillId="37" borderId="99" xfId="47" applyFont="1" applyFill="1" applyBorder="1" applyAlignment="1">
      <alignment vertical="center"/>
      <protection/>
    </xf>
    <xf numFmtId="0" fontId="34" fillId="37" borderId="33" xfId="47" applyFont="1" applyFill="1" applyBorder="1" applyAlignment="1">
      <alignment vertical="center"/>
      <protection/>
    </xf>
    <xf numFmtId="176" fontId="0" fillId="37" borderId="82" xfId="47" applyNumberFormat="1" applyFill="1" applyBorder="1" applyAlignment="1">
      <alignment vertical="center"/>
      <protection/>
    </xf>
    <xf numFmtId="176" fontId="0" fillId="37" borderId="83" xfId="47" applyNumberFormat="1" applyFill="1" applyBorder="1" applyAlignment="1">
      <alignment vertical="center"/>
      <protection/>
    </xf>
    <xf numFmtId="176" fontId="0" fillId="37" borderId="54" xfId="47" applyNumberFormat="1" applyFill="1" applyBorder="1" applyAlignment="1">
      <alignment vertical="center"/>
      <protection/>
    </xf>
    <xf numFmtId="176" fontId="0" fillId="37" borderId="14" xfId="47" applyNumberFormat="1" applyFill="1" applyBorder="1" applyAlignment="1">
      <alignment vertical="center"/>
      <protection/>
    </xf>
    <xf numFmtId="176" fontId="0" fillId="37" borderId="100" xfId="47" applyNumberFormat="1" applyFill="1" applyBorder="1" applyAlignment="1">
      <alignment vertical="center"/>
      <protection/>
    </xf>
    <xf numFmtId="176" fontId="0" fillId="37" borderId="101" xfId="47" applyNumberFormat="1" applyFill="1" applyBorder="1" applyAlignment="1">
      <alignment vertical="center"/>
      <protection/>
    </xf>
    <xf numFmtId="0" fontId="34" fillId="37" borderId="102" xfId="47" applyFont="1" applyFill="1" applyBorder="1" applyAlignment="1">
      <alignment vertical="center"/>
      <protection/>
    </xf>
    <xf numFmtId="0" fontId="34" fillId="37" borderId="103" xfId="47" applyFont="1" applyFill="1" applyBorder="1" applyAlignment="1">
      <alignment vertical="center"/>
      <protection/>
    </xf>
    <xf numFmtId="176" fontId="0" fillId="37" borderId="104" xfId="47" applyNumberFormat="1" applyFill="1" applyBorder="1" applyAlignment="1">
      <alignment vertical="center"/>
      <protection/>
    </xf>
    <xf numFmtId="176" fontId="0" fillId="37" borderId="105" xfId="47" applyNumberFormat="1" applyFill="1" applyBorder="1" applyAlignment="1">
      <alignment vertical="center"/>
      <protection/>
    </xf>
    <xf numFmtId="176" fontId="0" fillId="37" borderId="106" xfId="47" applyNumberFormat="1" applyFill="1" applyBorder="1" applyAlignment="1">
      <alignment vertical="center"/>
      <protection/>
    </xf>
    <xf numFmtId="176" fontId="0" fillId="37" borderId="107" xfId="47" applyNumberFormat="1" applyFill="1" applyBorder="1" applyAlignment="1">
      <alignment vertical="center"/>
      <protection/>
    </xf>
    <xf numFmtId="176" fontId="0" fillId="37" borderId="108" xfId="47" applyNumberFormat="1" applyFill="1" applyBorder="1" applyAlignment="1">
      <alignment vertical="center"/>
      <protection/>
    </xf>
    <xf numFmtId="176" fontId="0" fillId="37" borderId="109" xfId="47" applyNumberFormat="1" applyFill="1" applyBorder="1" applyAlignment="1">
      <alignment vertical="center"/>
      <protection/>
    </xf>
    <xf numFmtId="176" fontId="0" fillId="0" borderId="0" xfId="47" applyNumberFormat="1" applyAlignment="1">
      <alignment vertical="center"/>
      <protection/>
    </xf>
    <xf numFmtId="0" fontId="0" fillId="0" borderId="33" xfId="47" applyFont="1" applyFill="1" applyBorder="1" applyAlignment="1">
      <alignment vertical="center"/>
      <protection/>
    </xf>
    <xf numFmtId="0" fontId="0" fillId="0" borderId="54" xfId="47" applyFont="1" applyFill="1" applyBorder="1" applyAlignment="1">
      <alignment vertical="center"/>
      <protection/>
    </xf>
    <xf numFmtId="0" fontId="0" fillId="0" borderId="13" xfId="47" applyFont="1" applyFill="1" applyBorder="1" applyAlignment="1">
      <alignment vertical="center"/>
      <protection/>
    </xf>
    <xf numFmtId="3" fontId="0" fillId="0" borderId="14" xfId="47" applyNumberFormat="1" applyFont="1" applyFill="1" applyBorder="1" applyAlignment="1">
      <alignment vertical="center"/>
      <protection/>
    </xf>
    <xf numFmtId="0" fontId="0" fillId="38" borderId="33" xfId="47" applyFill="1" applyBorder="1" applyAlignment="1">
      <alignment vertical="center"/>
      <protection/>
    </xf>
    <xf numFmtId="0" fontId="0" fillId="38" borderId="54" xfId="47" applyFont="1" applyFill="1" applyBorder="1" applyAlignment="1">
      <alignment vertical="center"/>
      <protection/>
    </xf>
    <xf numFmtId="0" fontId="0" fillId="38" borderId="13" xfId="47" applyFont="1" applyFill="1" applyBorder="1" applyAlignment="1">
      <alignment vertical="center"/>
      <protection/>
    </xf>
    <xf numFmtId="4" fontId="0" fillId="38" borderId="14" xfId="47" applyNumberFormat="1" applyFill="1" applyBorder="1" applyAlignment="1">
      <alignment vertical="center"/>
      <protection/>
    </xf>
    <xf numFmtId="0" fontId="39" fillId="0" borderId="0" xfId="47" applyFont="1" applyAlignment="1">
      <alignment vertical="center"/>
      <protection/>
    </xf>
    <xf numFmtId="183" fontId="0" fillId="0" borderId="0" xfId="47" applyNumberFormat="1" applyAlignment="1">
      <alignment vertical="center"/>
      <protection/>
    </xf>
    <xf numFmtId="0" fontId="74" fillId="0" borderId="0" xfId="54">
      <alignment/>
      <protection/>
    </xf>
    <xf numFmtId="0" fontId="12" fillId="0" borderId="0" xfId="47" applyFont="1" applyAlignment="1">
      <alignment vertical="center"/>
      <protection/>
    </xf>
    <xf numFmtId="0" fontId="0" fillId="0" borderId="110" xfId="47" applyFont="1" applyFill="1" applyBorder="1" applyAlignment="1">
      <alignment horizontal="center" vertical="center" wrapText="1"/>
      <protection/>
    </xf>
    <xf numFmtId="0" fontId="0" fillId="0" borderId="111" xfId="47" applyFont="1" applyFill="1" applyBorder="1" applyAlignment="1">
      <alignment horizontal="center" vertical="center" wrapText="1"/>
      <protection/>
    </xf>
    <xf numFmtId="0" fontId="0" fillId="0" borderId="112" xfId="47" applyFont="1" applyBorder="1" applyAlignment="1">
      <alignment horizontal="center" vertical="center" wrapText="1"/>
      <protection/>
    </xf>
    <xf numFmtId="0" fontId="0" fillId="0" borderId="113" xfId="47" applyFill="1" applyBorder="1" applyAlignment="1">
      <alignment vertical="center"/>
      <protection/>
    </xf>
    <xf numFmtId="0" fontId="0" fillId="0" borderId="70" xfId="47" applyFill="1" applyBorder="1" applyAlignment="1">
      <alignment vertical="center"/>
      <protection/>
    </xf>
    <xf numFmtId="176" fontId="0" fillId="0" borderId="71" xfId="47" applyNumberFormat="1" applyBorder="1" applyAlignment="1">
      <alignment vertical="center"/>
      <protection/>
    </xf>
    <xf numFmtId="176" fontId="0" fillId="0" borderId="110" xfId="47" applyNumberFormat="1" applyBorder="1" applyAlignment="1">
      <alignment vertical="center"/>
      <protection/>
    </xf>
    <xf numFmtId="3" fontId="0" fillId="0" borderId="74" xfId="47" applyNumberFormat="1" applyBorder="1" applyAlignment="1">
      <alignment vertical="center"/>
      <protection/>
    </xf>
    <xf numFmtId="183" fontId="0" fillId="0" borderId="69" xfId="47" applyNumberFormat="1" applyBorder="1" applyAlignment="1">
      <alignment vertical="center"/>
      <protection/>
    </xf>
    <xf numFmtId="3" fontId="0" fillId="0" borderId="69" xfId="47" applyNumberFormat="1" applyBorder="1" applyAlignment="1">
      <alignment vertical="center"/>
      <protection/>
    </xf>
    <xf numFmtId="176" fontId="0" fillId="0" borderId="69" xfId="47" applyNumberFormat="1" applyBorder="1" applyAlignment="1">
      <alignment vertical="center"/>
      <protection/>
    </xf>
    <xf numFmtId="176" fontId="0" fillId="0" borderId="114" xfId="47" applyNumberFormat="1" applyBorder="1" applyAlignment="1">
      <alignment vertical="center"/>
      <protection/>
    </xf>
    <xf numFmtId="176" fontId="0" fillId="0" borderId="115" xfId="47" applyNumberFormat="1" applyBorder="1" applyAlignment="1">
      <alignment vertical="center"/>
      <protection/>
    </xf>
    <xf numFmtId="3" fontId="0" fillId="0" borderId="74" xfId="47" applyNumberFormat="1" applyFill="1" applyBorder="1" applyAlignment="1">
      <alignment vertical="center"/>
      <protection/>
    </xf>
    <xf numFmtId="3" fontId="0" fillId="0" borderId="77" xfId="47" applyNumberFormat="1" applyFill="1" applyBorder="1" applyAlignment="1">
      <alignment vertical="center"/>
      <protection/>
    </xf>
    <xf numFmtId="0" fontId="0" fillId="0" borderId="99" xfId="47" applyFill="1" applyBorder="1" applyAlignment="1">
      <alignment vertical="center"/>
      <protection/>
    </xf>
    <xf numFmtId="176" fontId="0" fillId="0" borderId="116" xfId="47" applyNumberFormat="1" applyBorder="1" applyAlignment="1">
      <alignment vertical="center"/>
      <protection/>
    </xf>
    <xf numFmtId="3" fontId="0" fillId="0" borderId="13" xfId="47" applyNumberFormat="1" applyFill="1" applyBorder="1" applyAlignment="1">
      <alignment vertical="center"/>
      <protection/>
    </xf>
    <xf numFmtId="0" fontId="38" fillId="0" borderId="117" xfId="47" applyFont="1" applyFill="1" applyBorder="1" applyAlignment="1">
      <alignment vertical="center"/>
      <protection/>
    </xf>
    <xf numFmtId="176" fontId="0" fillId="0" borderId="116" xfId="47" applyNumberFormat="1" applyFill="1" applyBorder="1" applyAlignment="1">
      <alignment vertical="center"/>
      <protection/>
    </xf>
    <xf numFmtId="4" fontId="0" fillId="0" borderId="13" xfId="47" applyNumberFormat="1" applyFill="1" applyBorder="1" applyAlignment="1">
      <alignment vertical="center"/>
      <protection/>
    </xf>
    <xf numFmtId="0" fontId="0" fillId="0" borderId="117" xfId="47" applyFill="1" applyBorder="1" applyAlignment="1">
      <alignment vertical="center"/>
      <protection/>
    </xf>
    <xf numFmtId="176" fontId="0" fillId="0" borderId="118" xfId="47" applyNumberFormat="1" applyBorder="1" applyAlignment="1">
      <alignment vertical="center"/>
      <protection/>
    </xf>
    <xf numFmtId="0" fontId="34" fillId="36" borderId="119" xfId="47" applyFont="1" applyFill="1" applyBorder="1" applyAlignment="1">
      <alignment vertical="center"/>
      <protection/>
    </xf>
    <xf numFmtId="176" fontId="0" fillId="36" borderId="120" xfId="47" applyNumberFormat="1" applyFill="1" applyBorder="1" applyAlignment="1">
      <alignment vertical="center"/>
      <protection/>
    </xf>
    <xf numFmtId="10" fontId="0" fillId="36" borderId="84" xfId="47" applyNumberFormat="1" applyFill="1" applyBorder="1" applyAlignment="1">
      <alignment vertical="center"/>
      <protection/>
    </xf>
    <xf numFmtId="10" fontId="0" fillId="36" borderId="35" xfId="47" applyNumberFormat="1" applyFill="1" applyBorder="1" applyAlignment="1">
      <alignment vertical="center"/>
      <protection/>
    </xf>
    <xf numFmtId="183" fontId="0" fillId="36" borderId="35" xfId="47" applyNumberFormat="1" applyFill="1" applyBorder="1" applyAlignment="1">
      <alignment vertical="center"/>
      <protection/>
    </xf>
    <xf numFmtId="3" fontId="0" fillId="36" borderId="36" xfId="47" applyNumberFormat="1" applyFill="1" applyBorder="1" applyAlignment="1">
      <alignment vertical="center"/>
      <protection/>
    </xf>
    <xf numFmtId="0" fontId="0" fillId="0" borderId="94" xfId="47" applyFill="1" applyBorder="1" applyAlignment="1">
      <alignment vertical="center"/>
      <protection/>
    </xf>
    <xf numFmtId="10" fontId="0" fillId="0" borderId="14" xfId="47" applyNumberFormat="1" applyBorder="1" applyAlignment="1">
      <alignment vertical="center"/>
      <protection/>
    </xf>
    <xf numFmtId="10" fontId="0" fillId="0" borderId="14" xfId="47" applyNumberFormat="1" applyFill="1" applyBorder="1" applyAlignment="1">
      <alignment vertical="center"/>
      <protection/>
    </xf>
    <xf numFmtId="4" fontId="74" fillId="0" borderId="0" xfId="55" applyNumberFormat="1">
      <alignment/>
      <protection/>
    </xf>
    <xf numFmtId="176" fontId="0" fillId="37" borderId="121" xfId="47" applyNumberFormat="1" applyFill="1" applyBorder="1" applyAlignment="1">
      <alignment vertical="center"/>
      <protection/>
    </xf>
    <xf numFmtId="176" fontId="0" fillId="37" borderId="30" xfId="47" applyNumberFormat="1" applyFill="1" applyBorder="1" applyAlignment="1">
      <alignment vertical="center"/>
      <protection/>
    </xf>
    <xf numFmtId="176" fontId="0" fillId="37" borderId="116" xfId="47" applyNumberFormat="1" applyFill="1" applyBorder="1" applyAlignment="1">
      <alignment vertical="center"/>
      <protection/>
    </xf>
    <xf numFmtId="176" fontId="0" fillId="37" borderId="13" xfId="47" applyNumberFormat="1" applyFill="1" applyBorder="1" applyAlignment="1">
      <alignment vertical="center"/>
      <protection/>
    </xf>
    <xf numFmtId="176" fontId="0" fillId="37" borderId="122" xfId="47" applyNumberFormat="1" applyFill="1" applyBorder="1" applyAlignment="1">
      <alignment vertical="center"/>
      <protection/>
    </xf>
    <xf numFmtId="191" fontId="0" fillId="37" borderId="104" xfId="95" applyNumberFormat="1" applyFont="1" applyFill="1" applyBorder="1" applyAlignment="1">
      <alignment vertical="center"/>
    </xf>
    <xf numFmtId="176" fontId="0" fillId="37" borderId="123" xfId="47" applyNumberFormat="1" applyFill="1" applyBorder="1" applyAlignment="1">
      <alignment vertical="center"/>
      <protection/>
    </xf>
    <xf numFmtId="176" fontId="0" fillId="37" borderId="124" xfId="47" applyNumberFormat="1" applyFill="1" applyBorder="1" applyAlignment="1">
      <alignment vertical="center"/>
      <protection/>
    </xf>
    <xf numFmtId="3" fontId="0" fillId="0" borderId="0" xfId="47" applyNumberFormat="1" applyFont="1" applyAlignment="1">
      <alignment horizontal="right" vertical="center"/>
      <protection/>
    </xf>
    <xf numFmtId="3" fontId="0" fillId="0" borderId="0" xfId="47" applyNumberFormat="1" applyFont="1" applyAlignment="1">
      <alignment horizontal="center" vertical="center"/>
      <protection/>
    </xf>
    <xf numFmtId="0" fontId="34" fillId="37" borderId="125" xfId="47" applyFont="1" applyFill="1" applyBorder="1" applyAlignment="1">
      <alignment vertical="center"/>
      <protection/>
    </xf>
    <xf numFmtId="0" fontId="34" fillId="37" borderId="27" xfId="47" applyFont="1" applyFill="1" applyBorder="1" applyAlignment="1">
      <alignment vertical="center"/>
      <protection/>
    </xf>
    <xf numFmtId="176" fontId="0" fillId="37" borderId="126" xfId="47" applyNumberFormat="1" applyFill="1" applyBorder="1" applyAlignment="1">
      <alignment vertical="center"/>
      <protection/>
    </xf>
    <xf numFmtId="176" fontId="0" fillId="37" borderId="127" xfId="47" applyNumberFormat="1" applyFill="1" applyBorder="1" applyAlignment="1">
      <alignment vertical="center"/>
      <protection/>
    </xf>
    <xf numFmtId="176" fontId="0" fillId="37" borderId="128" xfId="47" applyNumberFormat="1" applyFill="1" applyBorder="1" applyAlignment="1">
      <alignment vertical="center"/>
      <protection/>
    </xf>
    <xf numFmtId="176" fontId="0" fillId="37" borderId="62" xfId="47" applyNumberFormat="1" applyFill="1" applyBorder="1" applyAlignment="1">
      <alignment vertical="center"/>
      <protection/>
    </xf>
    <xf numFmtId="176" fontId="0" fillId="37" borderId="129" xfId="47" applyNumberFormat="1" applyFill="1" applyBorder="1" applyAlignment="1">
      <alignment vertical="center"/>
      <protection/>
    </xf>
    <xf numFmtId="0" fontId="16" fillId="0" borderId="130" xfId="47" applyFont="1" applyFill="1" applyBorder="1" applyAlignment="1">
      <alignment vertical="center"/>
      <protection/>
    </xf>
    <xf numFmtId="0" fontId="0" fillId="0" borderId="58" xfId="47" applyFill="1" applyBorder="1" applyAlignment="1">
      <alignment vertical="center"/>
      <protection/>
    </xf>
    <xf numFmtId="176" fontId="0" fillId="0" borderId="58" xfId="47" applyNumberFormat="1" applyFill="1" applyBorder="1" applyAlignment="1">
      <alignment vertical="center"/>
      <protection/>
    </xf>
    <xf numFmtId="3" fontId="0" fillId="0" borderId="131" xfId="47" applyNumberFormat="1" applyFill="1" applyBorder="1" applyAlignment="1">
      <alignment vertical="center"/>
      <protection/>
    </xf>
    <xf numFmtId="0" fontId="0" fillId="0" borderId="32" xfId="47" applyFill="1" applyBorder="1" applyAlignment="1">
      <alignment vertical="center"/>
      <protection/>
    </xf>
    <xf numFmtId="176" fontId="0" fillId="0" borderId="31" xfId="47" applyNumberFormat="1" applyFill="1" applyBorder="1" applyAlignment="1">
      <alignment horizontal="center" vertical="center"/>
      <protection/>
    </xf>
    <xf numFmtId="3" fontId="0" fillId="0" borderId="42" xfId="47" applyNumberFormat="1" applyFont="1" applyFill="1" applyBorder="1" applyAlignment="1">
      <alignment vertical="center"/>
      <protection/>
    </xf>
    <xf numFmtId="0" fontId="0" fillId="0" borderId="15" xfId="47" applyFill="1" applyBorder="1" applyAlignment="1">
      <alignment vertical="center"/>
      <protection/>
    </xf>
    <xf numFmtId="176" fontId="0" fillId="0" borderId="14" xfId="47" applyNumberFormat="1" applyFill="1" applyBorder="1" applyAlignment="1">
      <alignment horizontal="center" vertical="center"/>
      <protection/>
    </xf>
    <xf numFmtId="176" fontId="0" fillId="0" borderId="45" xfId="47" applyNumberFormat="1" applyFont="1" applyFill="1" applyBorder="1" applyAlignment="1">
      <alignment vertical="center"/>
      <protection/>
    </xf>
    <xf numFmtId="3" fontId="0" fillId="0" borderId="45" xfId="47" applyNumberFormat="1" applyFont="1" applyFill="1" applyBorder="1" applyAlignment="1">
      <alignment vertical="center"/>
      <protection/>
    </xf>
    <xf numFmtId="10" fontId="0" fillId="0" borderId="45" xfId="47" applyNumberFormat="1" applyFont="1" applyFill="1" applyBorder="1" applyAlignment="1">
      <alignment vertical="center"/>
      <protection/>
    </xf>
    <xf numFmtId="0" fontId="0" fillId="0" borderId="132" xfId="47" applyFill="1" applyBorder="1" applyAlignment="1">
      <alignment vertical="center"/>
      <protection/>
    </xf>
    <xf numFmtId="0" fontId="0" fillId="0" borderId="60" xfId="47" applyFill="1" applyBorder="1" applyAlignment="1">
      <alignment vertical="center"/>
      <protection/>
    </xf>
    <xf numFmtId="176" fontId="0" fillId="0" borderId="19" xfId="47" applyNumberFormat="1" applyFill="1" applyBorder="1" applyAlignment="1">
      <alignment horizontal="center" vertical="center"/>
      <protection/>
    </xf>
    <xf numFmtId="4" fontId="0" fillId="0" borderId="11" xfId="47" applyNumberFormat="1" applyFont="1" applyFill="1" applyBorder="1" applyAlignment="1">
      <alignment vertical="center"/>
      <protection/>
    </xf>
    <xf numFmtId="0" fontId="0" fillId="0" borderId="0" xfId="47" applyFont="1" applyAlignment="1">
      <alignment vertical="center"/>
      <protection/>
    </xf>
    <xf numFmtId="0" fontId="0" fillId="0" borderId="133" xfId="47" applyFill="1" applyBorder="1" applyAlignment="1">
      <alignment vertical="center"/>
      <protection/>
    </xf>
    <xf numFmtId="0" fontId="0" fillId="0" borderId="54" xfId="47" applyFill="1" applyBorder="1" applyAlignment="1">
      <alignment vertical="center"/>
      <protection/>
    </xf>
    <xf numFmtId="176" fontId="0" fillId="0" borderId="13" xfId="47" applyNumberFormat="1" applyFill="1" applyBorder="1" applyAlignment="1">
      <alignment horizontal="center" vertical="center"/>
      <protection/>
    </xf>
    <xf numFmtId="3" fontId="0" fillId="0" borderId="11" xfId="47" applyNumberFormat="1" applyFont="1" applyFill="1" applyBorder="1" applyAlignment="1">
      <alignment vertical="center"/>
      <protection/>
    </xf>
    <xf numFmtId="3" fontId="0" fillId="0" borderId="68" xfId="47" applyNumberFormat="1" applyFont="1" applyFill="1" applyBorder="1" applyAlignment="1">
      <alignment vertical="center"/>
      <protection/>
    </xf>
    <xf numFmtId="0" fontId="0" fillId="0" borderId="52" xfId="47" applyFill="1" applyBorder="1" applyAlignment="1">
      <alignment vertical="center"/>
      <protection/>
    </xf>
    <xf numFmtId="0" fontId="0" fillId="0" borderId="46" xfId="47" applyFill="1" applyBorder="1" applyAlignment="1">
      <alignment vertical="center"/>
      <protection/>
    </xf>
    <xf numFmtId="176" fontId="0" fillId="0" borderId="46" xfId="47" applyNumberFormat="1" applyFill="1" applyBorder="1" applyAlignment="1">
      <alignment horizontal="center" vertical="center"/>
      <protection/>
    </xf>
    <xf numFmtId="3" fontId="0" fillId="0" borderId="10" xfId="47" applyNumberFormat="1" applyFont="1" applyFill="1" applyBorder="1" applyAlignment="1">
      <alignment vertical="center"/>
      <protection/>
    </xf>
    <xf numFmtId="0" fontId="40" fillId="0" borderId="0" xfId="47" applyFont="1" applyAlignment="1">
      <alignment vertical="center"/>
      <protection/>
    </xf>
    <xf numFmtId="1" fontId="0" fillId="0" borderId="0" xfId="47" applyNumberFormat="1" applyAlignment="1">
      <alignment vertical="center"/>
      <protection/>
    </xf>
    <xf numFmtId="3" fontId="34" fillId="0" borderId="0" xfId="47" applyNumberFormat="1" applyFont="1" applyFill="1" applyAlignment="1">
      <alignment vertical="center"/>
      <protection/>
    </xf>
    <xf numFmtId="0" fontId="34" fillId="39" borderId="56" xfId="47" applyFont="1" applyFill="1" applyBorder="1" applyAlignment="1">
      <alignment vertical="center" wrapText="1"/>
      <protection/>
    </xf>
    <xf numFmtId="2" fontId="34" fillId="39" borderId="56" xfId="47" applyNumberFormat="1" applyFont="1" applyFill="1" applyBorder="1" applyAlignment="1">
      <alignment vertical="center" wrapText="1"/>
      <protection/>
    </xf>
    <xf numFmtId="3" fontId="34" fillId="39" borderId="56" xfId="47" applyNumberFormat="1" applyFont="1" applyFill="1" applyBorder="1" applyAlignment="1">
      <alignment vertical="center" wrapText="1"/>
      <protection/>
    </xf>
    <xf numFmtId="4" fontId="34" fillId="39" borderId="56" xfId="47" applyNumberFormat="1" applyFont="1" applyFill="1" applyBorder="1" applyAlignment="1">
      <alignment vertical="center" wrapText="1"/>
      <protection/>
    </xf>
    <xf numFmtId="0" fontId="34" fillId="0" borderId="0" xfId="47" applyFont="1" applyFill="1" applyBorder="1" applyAlignment="1">
      <alignment vertical="center"/>
      <protection/>
    </xf>
    <xf numFmtId="2" fontId="34" fillId="0" borderId="0" xfId="47" applyNumberFormat="1" applyFont="1" applyFill="1" applyBorder="1" applyAlignment="1">
      <alignment vertical="center"/>
      <protection/>
    </xf>
    <xf numFmtId="3" fontId="34" fillId="0" borderId="0" xfId="47" applyNumberFormat="1" applyFont="1" applyFill="1" applyBorder="1" applyAlignment="1">
      <alignment vertical="center"/>
      <protection/>
    </xf>
    <xf numFmtId="4" fontId="34" fillId="0" borderId="0" xfId="47" applyNumberFormat="1" applyFont="1" applyFill="1" applyBorder="1" applyAlignment="1">
      <alignment vertical="center"/>
      <protection/>
    </xf>
    <xf numFmtId="0" fontId="34" fillId="40" borderId="0" xfId="47" applyFont="1" applyFill="1" applyAlignment="1">
      <alignment vertical="center"/>
      <protection/>
    </xf>
    <xf numFmtId="3" fontId="34" fillId="40" borderId="0" xfId="47" applyNumberFormat="1" applyFont="1" applyFill="1" applyAlignment="1">
      <alignment vertical="center"/>
      <protection/>
    </xf>
    <xf numFmtId="2" fontId="34" fillId="40" borderId="0" xfId="47" applyNumberFormat="1" applyFont="1" applyFill="1" applyAlignment="1">
      <alignment vertical="center"/>
      <protection/>
    </xf>
    <xf numFmtId="4" fontId="34" fillId="40" borderId="0" xfId="47" applyNumberFormat="1" applyFont="1" applyFill="1" applyAlignment="1">
      <alignment vertical="center"/>
      <protection/>
    </xf>
    <xf numFmtId="0" fontId="34" fillId="40" borderId="33" xfId="47" applyFont="1" applyFill="1" applyBorder="1" applyAlignment="1">
      <alignment vertical="center"/>
      <protection/>
    </xf>
    <xf numFmtId="0" fontId="34" fillId="40" borderId="54" xfId="47" applyFont="1" applyFill="1" applyBorder="1" applyAlignment="1">
      <alignment vertical="center"/>
      <protection/>
    </xf>
    <xf numFmtId="2" fontId="34" fillId="40" borderId="54" xfId="47" applyNumberFormat="1" applyFont="1" applyFill="1" applyBorder="1" applyAlignment="1">
      <alignment vertical="center"/>
      <protection/>
    </xf>
    <xf numFmtId="3" fontId="34" fillId="40" borderId="54" xfId="47" applyNumberFormat="1" applyFont="1" applyFill="1" applyBorder="1" applyAlignment="1">
      <alignment vertical="center"/>
      <protection/>
    </xf>
    <xf numFmtId="4" fontId="34" fillId="40" borderId="54" xfId="47" applyNumberFormat="1" applyFont="1" applyFill="1" applyBorder="1" applyAlignment="1">
      <alignment vertical="center"/>
      <protection/>
    </xf>
    <xf numFmtId="4" fontId="34" fillId="40" borderId="13" xfId="47" applyNumberFormat="1" applyFont="1" applyFill="1" applyBorder="1" applyAlignment="1">
      <alignment vertical="center"/>
      <protection/>
    </xf>
    <xf numFmtId="0" fontId="5" fillId="0" borderId="0" xfId="47" applyFont="1" applyBorder="1" applyAlignment="1">
      <alignment horizontal="left" vertical="center"/>
      <protection/>
    </xf>
    <xf numFmtId="191" fontId="42" fillId="0" borderId="0" xfId="92" applyNumberFormat="1" applyFont="1" applyFill="1" applyBorder="1" applyAlignment="1" applyProtection="1">
      <alignment horizontal="center" vertical="center"/>
      <protection/>
    </xf>
    <xf numFmtId="0" fontId="41" fillId="0" borderId="0" xfId="66" applyFont="1" applyFill="1" applyBorder="1" applyAlignment="1">
      <alignment horizontal="center" vertical="center" wrapText="1"/>
      <protection/>
    </xf>
    <xf numFmtId="0" fontId="5" fillId="0" borderId="0" xfId="66" applyFont="1" applyFill="1" applyBorder="1" applyAlignment="1">
      <alignment vertical="center" wrapText="1"/>
      <protection/>
    </xf>
    <xf numFmtId="49" fontId="41" fillId="0" borderId="134" xfId="66" applyNumberFormat="1" applyFont="1" applyFill="1" applyBorder="1" applyAlignment="1" applyProtection="1">
      <alignment vertical="center"/>
      <protection/>
    </xf>
    <xf numFmtId="0" fontId="41" fillId="0" borderId="135" xfId="66" applyNumberFormat="1" applyFont="1" applyFill="1" applyBorder="1" applyAlignment="1" applyProtection="1">
      <alignment vertical="center" wrapText="1"/>
      <protection/>
    </xf>
    <xf numFmtId="0" fontId="0" fillId="0" borderId="61" xfId="0" applyFill="1" applyBorder="1" applyAlignment="1">
      <alignment/>
    </xf>
    <xf numFmtId="191" fontId="41" fillId="10" borderId="136" xfId="92" applyNumberFormat="1" applyFont="1" applyFill="1" applyBorder="1" applyAlignment="1" applyProtection="1">
      <alignment horizontal="right" vertical="center"/>
      <protection/>
    </xf>
    <xf numFmtId="0" fontId="0" fillId="0" borderId="57" xfId="0" applyFill="1" applyBorder="1" applyAlignment="1">
      <alignment/>
    </xf>
    <xf numFmtId="191" fontId="41" fillId="0" borderId="57" xfId="66" applyNumberFormat="1" applyFont="1" applyFill="1" applyBorder="1" applyAlignment="1">
      <alignment horizontal="center" vertical="center"/>
      <protection/>
    </xf>
    <xf numFmtId="191" fontId="41" fillId="10" borderId="137" xfId="92" applyNumberFormat="1" applyFont="1" applyFill="1" applyBorder="1" applyAlignment="1" applyProtection="1">
      <alignment horizontal="right" vertical="center"/>
      <protection/>
    </xf>
    <xf numFmtId="191" fontId="41" fillId="0" borderId="0" xfId="92" applyNumberFormat="1" applyFont="1" applyFill="1" applyBorder="1" applyAlignment="1" applyProtection="1">
      <alignment horizontal="right" vertical="center"/>
      <protection/>
    </xf>
    <xf numFmtId="191" fontId="41" fillId="8" borderId="136" xfId="92" applyNumberFormat="1" applyFont="1" applyFill="1" applyBorder="1" applyAlignment="1" applyProtection="1">
      <alignment horizontal="right" vertical="center"/>
      <protection/>
    </xf>
    <xf numFmtId="0" fontId="0" fillId="0" borderId="138" xfId="0" applyFill="1" applyBorder="1" applyAlignment="1">
      <alignment/>
    </xf>
    <xf numFmtId="191" fontId="41" fillId="8" borderId="139" xfId="92" applyNumberFormat="1" applyFont="1" applyFill="1" applyBorder="1" applyAlignment="1" applyProtection="1">
      <alignment horizontal="right" vertical="center"/>
      <protection/>
    </xf>
    <xf numFmtId="191" fontId="5" fillId="0" borderId="0" xfId="66" applyNumberFormat="1" applyFont="1" applyFill="1" applyBorder="1" applyAlignment="1">
      <alignment vertical="center"/>
      <protection/>
    </xf>
    <xf numFmtId="191" fontId="41" fillId="13" borderId="57" xfId="92" applyNumberFormat="1" applyFont="1" applyFill="1" applyBorder="1" applyAlignment="1" applyProtection="1">
      <alignment horizontal="right" vertical="center"/>
      <protection/>
    </xf>
    <xf numFmtId="0" fontId="0" fillId="0" borderId="140" xfId="0" applyFill="1" applyBorder="1" applyAlignment="1">
      <alignment/>
    </xf>
    <xf numFmtId="191" fontId="41" fillId="13" borderId="67" xfId="92" applyNumberFormat="1" applyFont="1" applyFill="1" applyBorder="1" applyAlignment="1" applyProtection="1">
      <alignment horizontal="right" vertical="center"/>
      <protection/>
    </xf>
    <xf numFmtId="191" fontId="41" fillId="13" borderId="135" xfId="92" applyNumberFormat="1" applyFont="1" applyFill="1" applyBorder="1" applyAlignment="1" applyProtection="1">
      <alignment horizontal="right" vertical="center"/>
      <protection/>
    </xf>
    <xf numFmtId="9" fontId="41" fillId="9" borderId="141" xfId="92" applyFont="1" applyFill="1" applyBorder="1" applyAlignment="1">
      <alignment horizontal="center" vertical="center"/>
    </xf>
    <xf numFmtId="3" fontId="5" fillId="9" borderId="135" xfId="57" applyNumberFormat="1" applyFont="1" applyFill="1" applyBorder="1" applyAlignment="1">
      <alignment vertical="center"/>
      <protection/>
    </xf>
    <xf numFmtId="49" fontId="41" fillId="0" borderId="142" xfId="66" applyNumberFormat="1" applyFont="1" applyFill="1" applyBorder="1" applyAlignment="1" applyProtection="1">
      <alignment vertical="center"/>
      <protection/>
    </xf>
    <xf numFmtId="0" fontId="0" fillId="0" borderId="134" xfId="0" applyFill="1" applyBorder="1" applyAlignment="1">
      <alignment/>
    </xf>
    <xf numFmtId="191" fontId="41" fillId="0" borderId="143" xfId="92" applyNumberFormat="1" applyFont="1" applyFill="1" applyBorder="1" applyAlignment="1" applyProtection="1">
      <alignment horizontal="right" vertical="center"/>
      <protection/>
    </xf>
    <xf numFmtId="0" fontId="93" fillId="0" borderId="62" xfId="0" applyFont="1" applyFill="1" applyBorder="1" applyAlignment="1">
      <alignment/>
    </xf>
    <xf numFmtId="0" fontId="97" fillId="0" borderId="62" xfId="66" applyFont="1" applyFill="1" applyBorder="1" applyAlignment="1">
      <alignment horizontal="center" vertical="center" wrapText="1"/>
      <protection/>
    </xf>
    <xf numFmtId="191" fontId="41" fillId="0" borderId="144" xfId="92" applyNumberFormat="1" applyFont="1" applyFill="1" applyBorder="1" applyAlignment="1" applyProtection="1">
      <alignment horizontal="right" vertical="center"/>
      <protection/>
    </xf>
    <xf numFmtId="191" fontId="98" fillId="0" borderId="0" xfId="92" applyNumberFormat="1" applyFont="1" applyFill="1" applyBorder="1" applyAlignment="1" applyProtection="1">
      <alignment horizontal="right" vertical="center"/>
      <protection/>
    </xf>
    <xf numFmtId="0" fontId="93" fillId="0" borderId="145" xfId="0" applyFont="1" applyFill="1" applyBorder="1" applyAlignment="1">
      <alignment/>
    </xf>
    <xf numFmtId="191" fontId="41" fillId="0" borderId="142" xfId="92" applyNumberFormat="1" applyFont="1" applyFill="1" applyBorder="1" applyAlignment="1" applyProtection="1">
      <alignment horizontal="right" vertical="center"/>
      <protection/>
    </xf>
    <xf numFmtId="0" fontId="97" fillId="0" borderId="0" xfId="66" applyFont="1" applyFill="1" applyBorder="1" applyAlignment="1">
      <alignment horizontal="center" vertical="center" wrapText="1"/>
      <protection/>
    </xf>
    <xf numFmtId="0" fontId="93" fillId="0" borderId="134" xfId="0" applyFont="1" applyFill="1" applyBorder="1" applyAlignment="1">
      <alignment/>
    </xf>
    <xf numFmtId="191" fontId="41" fillId="0" borderId="62" xfId="92" applyNumberFormat="1" applyFont="1" applyFill="1" applyBorder="1" applyAlignment="1" applyProtection="1">
      <alignment horizontal="right" vertical="center"/>
      <protection/>
    </xf>
    <xf numFmtId="191" fontId="41" fillId="0" borderId="30" xfId="92" applyNumberFormat="1" applyFont="1" applyFill="1" applyBorder="1" applyAlignment="1" applyProtection="1">
      <alignment horizontal="right" vertical="center"/>
      <protection/>
    </xf>
    <xf numFmtId="10" fontId="41" fillId="0" borderId="146" xfId="92" applyNumberFormat="1" applyFont="1" applyFill="1" applyBorder="1" applyAlignment="1" applyProtection="1">
      <alignment horizontal="right" vertical="center"/>
      <protection/>
    </xf>
    <xf numFmtId="3" fontId="5" fillId="0" borderId="144" xfId="66" applyNumberFormat="1" applyFont="1" applyFill="1" applyBorder="1" applyAlignment="1">
      <alignment vertical="center"/>
      <protection/>
    </xf>
    <xf numFmtId="0" fontId="5" fillId="0" borderId="0" xfId="66" applyFont="1" applyFill="1" applyBorder="1" applyAlignment="1">
      <alignment horizontal="center" vertical="center" wrapText="1"/>
      <protection/>
    </xf>
    <xf numFmtId="49" fontId="5" fillId="0" borderId="51" xfId="66" applyNumberFormat="1" applyFont="1" applyFill="1" applyBorder="1" applyAlignment="1" applyProtection="1">
      <alignment horizontal="center" vertical="center"/>
      <protection/>
    </xf>
    <xf numFmtId="49" fontId="41" fillId="0" borderId="147" xfId="66" applyNumberFormat="1" applyFont="1" applyFill="1" applyBorder="1" applyAlignment="1" applyProtection="1">
      <alignment horizontal="left" vertical="center"/>
      <protection/>
    </xf>
    <xf numFmtId="3" fontId="5" fillId="0" borderId="51" xfId="66" applyNumberFormat="1" applyFont="1" applyFill="1" applyBorder="1" applyAlignment="1" applyProtection="1">
      <alignment horizontal="right" vertical="center"/>
      <protection/>
    </xf>
    <xf numFmtId="191" fontId="41" fillId="0" borderId="148" xfId="92" applyNumberFormat="1" applyFont="1" applyFill="1" applyBorder="1" applyAlignment="1" applyProtection="1">
      <alignment horizontal="right" vertical="center"/>
      <protection/>
    </xf>
    <xf numFmtId="49" fontId="98" fillId="0" borderId="0" xfId="66" applyNumberFormat="1" applyFont="1" applyFill="1" applyBorder="1" applyAlignment="1" applyProtection="1">
      <alignment horizontal="left" vertical="center"/>
      <protection/>
    </xf>
    <xf numFmtId="0" fontId="97" fillId="0" borderId="0" xfId="66" applyFont="1" applyFill="1" applyBorder="1" applyAlignment="1">
      <alignment vertical="center"/>
      <protection/>
    </xf>
    <xf numFmtId="191" fontId="41" fillId="0" borderId="149" xfId="92" applyNumberFormat="1" applyFont="1" applyFill="1" applyBorder="1" applyAlignment="1" applyProtection="1">
      <alignment horizontal="right" vertical="center"/>
      <protection/>
    </xf>
    <xf numFmtId="191" fontId="97" fillId="0" borderId="150" xfId="66" applyNumberFormat="1" applyFont="1" applyFill="1" applyBorder="1" applyAlignment="1">
      <alignment horizontal="center" vertical="center"/>
      <protection/>
    </xf>
    <xf numFmtId="191" fontId="41" fillId="0" borderId="147" xfId="92" applyNumberFormat="1" applyFont="1" applyFill="1" applyBorder="1" applyAlignment="1" applyProtection="1">
      <alignment horizontal="right" vertical="center"/>
      <protection/>
    </xf>
    <xf numFmtId="191" fontId="97" fillId="0" borderId="51" xfId="66" applyNumberFormat="1" applyFont="1" applyFill="1" applyBorder="1" applyAlignment="1">
      <alignment horizontal="center" vertical="center"/>
      <protection/>
    </xf>
    <xf numFmtId="191" fontId="41" fillId="0" borderId="24" xfId="92" applyNumberFormat="1" applyFont="1" applyFill="1" applyBorder="1" applyAlignment="1" applyProtection="1">
      <alignment horizontal="right" vertical="center"/>
      <protection/>
    </xf>
    <xf numFmtId="10" fontId="5" fillId="0" borderId="151" xfId="92" applyNumberFormat="1" applyFont="1" applyFill="1" applyBorder="1" applyAlignment="1" applyProtection="1">
      <alignment horizontal="right" vertical="center"/>
      <protection/>
    </xf>
    <xf numFmtId="3" fontId="5" fillId="0" borderId="149" xfId="66" applyNumberFormat="1" applyFont="1" applyFill="1" applyBorder="1" applyAlignment="1">
      <alignment vertical="center"/>
      <protection/>
    </xf>
    <xf numFmtId="0" fontId="97" fillId="0" borderId="150" xfId="66" applyFont="1" applyFill="1" applyBorder="1" applyAlignment="1">
      <alignment horizontal="center" vertical="center"/>
      <protection/>
    </xf>
    <xf numFmtId="0" fontId="97" fillId="0" borderId="51" xfId="66" applyFont="1" applyFill="1" applyBorder="1" applyAlignment="1">
      <alignment horizontal="center" vertical="center"/>
      <protection/>
    </xf>
    <xf numFmtId="191" fontId="99" fillId="0" borderId="0" xfId="92" applyNumberFormat="1" applyFont="1" applyFill="1" applyBorder="1" applyAlignment="1" applyProtection="1">
      <alignment horizontal="right" vertical="center"/>
      <protection/>
    </xf>
    <xf numFmtId="3" fontId="5" fillId="0" borderId="51" xfId="66" applyNumberFormat="1" applyFont="1" applyFill="1" applyBorder="1" applyAlignment="1">
      <alignment horizontal="right" vertical="center"/>
      <protection/>
    </xf>
    <xf numFmtId="49" fontId="5" fillId="0" borderId="152" xfId="66" applyNumberFormat="1" applyFont="1" applyFill="1" applyBorder="1" applyAlignment="1" applyProtection="1">
      <alignment horizontal="center" vertical="center"/>
      <protection/>
    </xf>
    <xf numFmtId="49" fontId="41" fillId="0" borderId="139" xfId="66" applyNumberFormat="1" applyFont="1" applyFill="1" applyBorder="1" applyAlignment="1" applyProtection="1">
      <alignment horizontal="left" vertical="center"/>
      <protection/>
    </xf>
    <xf numFmtId="3" fontId="5" fillId="0" borderId="152" xfId="66" applyNumberFormat="1" applyFont="1" applyFill="1" applyBorder="1" applyAlignment="1" applyProtection="1">
      <alignment horizontal="right" vertical="center"/>
      <protection/>
    </xf>
    <xf numFmtId="191" fontId="41" fillId="0" borderId="153" xfId="92" applyNumberFormat="1" applyFont="1" applyFill="1" applyBorder="1" applyAlignment="1" applyProtection="1">
      <alignment horizontal="right" vertical="center"/>
      <protection/>
    </xf>
    <xf numFmtId="49" fontId="98" fillId="0" borderId="66" xfId="66" applyNumberFormat="1" applyFont="1" applyFill="1" applyBorder="1" applyAlignment="1" applyProtection="1">
      <alignment horizontal="left" vertical="center"/>
      <protection/>
    </xf>
    <xf numFmtId="191" fontId="98" fillId="0" borderId="66" xfId="92" applyNumberFormat="1" applyFont="1" applyFill="1" applyBorder="1" applyAlignment="1" applyProtection="1">
      <alignment horizontal="right" vertical="center"/>
      <protection/>
    </xf>
    <xf numFmtId="0" fontId="97" fillId="0" borderId="66" xfId="66" applyFont="1" applyFill="1" applyBorder="1" applyAlignment="1">
      <alignment vertical="center"/>
      <protection/>
    </xf>
    <xf numFmtId="191" fontId="41" fillId="0" borderId="154" xfId="92" applyNumberFormat="1" applyFont="1" applyFill="1" applyBorder="1" applyAlignment="1" applyProtection="1">
      <alignment horizontal="right" vertical="center"/>
      <protection/>
    </xf>
    <xf numFmtId="0" fontId="97" fillId="0" borderId="138" xfId="66" applyFont="1" applyFill="1" applyBorder="1" applyAlignment="1">
      <alignment horizontal="center" vertical="center"/>
      <protection/>
    </xf>
    <xf numFmtId="191" fontId="41" fillId="0" borderId="139" xfId="92" applyNumberFormat="1" applyFont="1" applyFill="1" applyBorder="1" applyAlignment="1" applyProtection="1">
      <alignment horizontal="right" vertical="center"/>
      <protection/>
    </xf>
    <xf numFmtId="0" fontId="97" fillId="0" borderId="152" xfId="66" applyFont="1" applyFill="1" applyBorder="1" applyAlignment="1">
      <alignment horizontal="center" vertical="center"/>
      <protection/>
    </xf>
    <xf numFmtId="191" fontId="41" fillId="0" borderId="66" xfId="92" applyNumberFormat="1" applyFont="1" applyFill="1" applyBorder="1" applyAlignment="1" applyProtection="1">
      <alignment horizontal="right" vertical="center"/>
      <protection/>
    </xf>
    <xf numFmtId="191" fontId="41" fillId="0" borderId="155" xfId="92" applyNumberFormat="1" applyFont="1" applyFill="1" applyBorder="1" applyAlignment="1" applyProtection="1">
      <alignment horizontal="right" vertical="center"/>
      <protection/>
    </xf>
    <xf numFmtId="10" fontId="5" fillId="0" borderId="156" xfId="92" applyNumberFormat="1" applyFont="1" applyFill="1" applyBorder="1" applyAlignment="1" applyProtection="1">
      <alignment horizontal="right" vertical="center"/>
      <protection/>
    </xf>
    <xf numFmtId="3" fontId="5" fillId="0" borderId="154" xfId="66" applyNumberFormat="1" applyFont="1" applyFill="1" applyBorder="1" applyAlignment="1">
      <alignment vertical="center"/>
      <protection/>
    </xf>
    <xf numFmtId="1" fontId="0" fillId="0" borderId="67" xfId="86" applyNumberFormat="1" applyFont="1" applyBorder="1" applyAlignment="1">
      <alignment horizontal="center" vertical="center"/>
      <protection/>
    </xf>
    <xf numFmtId="1" fontId="0" fillId="0" borderId="35" xfId="86" applyNumberFormat="1" applyFont="1" applyBorder="1" applyAlignment="1">
      <alignment horizontal="center" vertical="center"/>
      <protection/>
    </xf>
    <xf numFmtId="1" fontId="0" fillId="0" borderId="37" xfId="86" applyNumberFormat="1" applyFont="1" applyBorder="1" applyAlignment="1">
      <alignment horizontal="center" vertical="center"/>
      <protection/>
    </xf>
    <xf numFmtId="1" fontId="0" fillId="0" borderId="49" xfId="86" applyNumberFormat="1" applyFont="1" applyBorder="1" applyAlignment="1">
      <alignment horizontal="center" vertical="center" wrapText="1"/>
      <protection/>
    </xf>
    <xf numFmtId="1" fontId="0" fillId="0" borderId="35" xfId="86" applyNumberFormat="1" applyFont="1" applyBorder="1" applyAlignment="1">
      <alignment horizontal="center" vertical="center" wrapText="1"/>
      <protection/>
    </xf>
    <xf numFmtId="1" fontId="0" fillId="0" borderId="35" xfId="86" applyNumberFormat="1" applyFont="1" applyBorder="1" applyAlignment="1" quotePrefix="1">
      <alignment horizontal="center" vertical="center" wrapText="1"/>
      <protection/>
    </xf>
    <xf numFmtId="1" fontId="0" fillId="0" borderId="35" xfId="86" applyNumberFormat="1" applyFont="1" applyBorder="1" applyAlignment="1" quotePrefix="1">
      <alignment horizontal="center" vertical="center"/>
      <protection/>
    </xf>
    <xf numFmtId="1" fontId="0" fillId="0" borderId="57" xfId="86" applyNumberFormat="1" applyFont="1" applyBorder="1" applyAlignment="1" quotePrefix="1">
      <alignment horizontal="center" vertical="center"/>
      <protection/>
    </xf>
    <xf numFmtId="1" fontId="0" fillId="0" borderId="37" xfId="86" applyNumberFormat="1" applyFont="1" applyBorder="1" applyAlignment="1" quotePrefix="1">
      <alignment horizontal="center" vertical="center"/>
      <protection/>
    </xf>
    <xf numFmtId="0" fontId="0" fillId="0" borderId="0" xfId="47" applyFont="1">
      <alignment/>
      <protection/>
    </xf>
    <xf numFmtId="3" fontId="0" fillId="0" borderId="30" xfId="47" applyNumberFormat="1" applyFont="1" applyBorder="1" applyAlignment="1">
      <alignment horizontal="center" vertical="center"/>
      <protection/>
    </xf>
    <xf numFmtId="3" fontId="0" fillId="0" borderId="31" xfId="47" applyNumberFormat="1" applyFont="1" applyBorder="1" applyAlignment="1">
      <alignment horizontal="center" vertical="center"/>
      <protection/>
    </xf>
    <xf numFmtId="3" fontId="0" fillId="0" borderId="42" xfId="47" applyNumberFormat="1" applyFont="1" applyBorder="1" applyAlignment="1">
      <alignment horizontal="center" vertical="center"/>
      <protection/>
    </xf>
    <xf numFmtId="3" fontId="0" fillId="0" borderId="32" xfId="86" applyNumberFormat="1" applyFont="1" applyBorder="1" applyAlignment="1">
      <alignment horizontal="center" vertical="center"/>
      <protection/>
    </xf>
    <xf numFmtId="3" fontId="0" fillId="0" borderId="31" xfId="47" applyNumberFormat="1" applyFont="1" applyFill="1" applyBorder="1" applyAlignment="1">
      <alignment horizontal="center" vertical="center"/>
      <protection/>
    </xf>
    <xf numFmtId="3" fontId="0" fillId="0" borderId="62" xfId="47" applyNumberFormat="1" applyFont="1" applyFill="1" applyBorder="1" applyAlignment="1">
      <alignment horizontal="center" vertical="center"/>
      <protection/>
    </xf>
    <xf numFmtId="3" fontId="0" fillId="0" borderId="42" xfId="47" applyNumberFormat="1" applyFont="1" applyFill="1" applyBorder="1" applyAlignment="1">
      <alignment horizontal="center" vertical="center"/>
      <protection/>
    </xf>
    <xf numFmtId="3" fontId="0" fillId="0" borderId="24" xfId="47" applyNumberFormat="1" applyFont="1" applyBorder="1" applyAlignment="1">
      <alignment vertical="center"/>
      <protection/>
    </xf>
    <xf numFmtId="4" fontId="0" fillId="0" borderId="46" xfId="86" applyNumberFormat="1" applyFont="1" applyBorder="1" applyAlignment="1">
      <alignment horizontal="center" vertical="center"/>
      <protection/>
    </xf>
    <xf numFmtId="4" fontId="0" fillId="0" borderId="10" xfId="86" applyNumberFormat="1" applyFont="1" applyBorder="1" applyAlignment="1">
      <alignment horizontal="center" vertical="center"/>
      <protection/>
    </xf>
    <xf numFmtId="4" fontId="0" fillId="0" borderId="52" xfId="86" applyNumberFormat="1" applyFont="1" applyBorder="1" applyAlignment="1">
      <alignment horizontal="center" vertical="center"/>
      <protection/>
    </xf>
    <xf numFmtId="4" fontId="0" fillId="0" borderId="157" xfId="86" applyNumberFormat="1" applyFont="1" applyBorder="1" applyAlignment="1">
      <alignment horizontal="center" vertical="center"/>
      <protection/>
    </xf>
    <xf numFmtId="3" fontId="0" fillId="0" borderId="30" xfId="86" applyNumberFormat="1" applyFont="1" applyBorder="1" applyAlignment="1">
      <alignment horizontal="center" vertical="center"/>
      <protection/>
    </xf>
    <xf numFmtId="3" fontId="0" fillId="0" borderId="31" xfId="86" applyNumberFormat="1" applyFont="1" applyBorder="1" applyAlignment="1">
      <alignment horizontal="center" vertical="center"/>
      <protection/>
    </xf>
    <xf numFmtId="3" fontId="0" fillId="0" borderId="42" xfId="86" applyNumberFormat="1" applyFont="1" applyBorder="1" applyAlignment="1">
      <alignment horizontal="center" vertical="center"/>
      <protection/>
    </xf>
    <xf numFmtId="3" fontId="0" fillId="0" borderId="62" xfId="86" applyNumberFormat="1" applyFont="1" applyBorder="1" applyAlignment="1">
      <alignment horizontal="center" vertical="center"/>
      <protection/>
    </xf>
    <xf numFmtId="3" fontId="0" fillId="0" borderId="42" xfId="86" applyNumberFormat="1" applyFont="1" applyFill="1" applyBorder="1" applyAlignment="1">
      <alignment horizontal="center" vertical="center"/>
      <protection/>
    </xf>
    <xf numFmtId="4" fontId="0" fillId="0" borderId="155" xfId="86" applyNumberFormat="1" applyFont="1" applyBorder="1" applyAlignment="1">
      <alignment horizontal="center" vertical="center"/>
      <protection/>
    </xf>
    <xf numFmtId="4" fontId="0" fillId="0" borderId="50" xfId="86" applyNumberFormat="1" applyFont="1" applyBorder="1" applyAlignment="1">
      <alignment horizontal="center" vertical="center"/>
      <protection/>
    </xf>
    <xf numFmtId="4" fontId="0" fillId="0" borderId="65" xfId="86" applyNumberFormat="1" applyFont="1" applyBorder="1" applyAlignment="1">
      <alignment horizontal="center" vertical="center"/>
      <protection/>
    </xf>
    <xf numFmtId="4" fontId="0" fillId="0" borderId="53" xfId="86" applyNumberFormat="1" applyFont="1" applyBorder="1" applyAlignment="1">
      <alignment horizontal="center" vertical="center"/>
      <protection/>
    </xf>
    <xf numFmtId="4" fontId="0" fillId="0" borderId="66" xfId="86" applyNumberFormat="1" applyFont="1" applyBorder="1" applyAlignment="1">
      <alignment horizontal="center" vertical="center"/>
      <protection/>
    </xf>
    <xf numFmtId="4" fontId="0" fillId="0" borderId="158" xfId="86" applyNumberFormat="1" applyFont="1" applyFill="1" applyBorder="1" applyAlignment="1">
      <alignment horizontal="center" vertical="center"/>
      <protection/>
    </xf>
    <xf numFmtId="0" fontId="1" fillId="0" borderId="0" xfId="86" applyAlignment="1">
      <alignment vertical="center"/>
      <protection/>
    </xf>
    <xf numFmtId="0" fontId="1" fillId="0" borderId="0" xfId="86" applyAlignment="1">
      <alignment horizontal="right" vertical="center"/>
      <protection/>
    </xf>
    <xf numFmtId="0" fontId="1" fillId="0" borderId="0" xfId="86" applyFont="1" applyAlignment="1">
      <alignment horizontal="right" vertical="center"/>
      <protection/>
    </xf>
    <xf numFmtId="0" fontId="1" fillId="0" borderId="0" xfId="86" applyFont="1" applyAlignment="1">
      <alignment vertical="center"/>
      <protection/>
    </xf>
    <xf numFmtId="0" fontId="1" fillId="0" borderId="0" xfId="86" applyFont="1" applyAlignment="1">
      <alignment vertical="center" wrapText="1"/>
      <protection/>
    </xf>
    <xf numFmtId="0" fontId="1" fillId="0" borderId="0" xfId="86" applyFont="1" applyFill="1" applyAlignment="1">
      <alignment vertical="center"/>
      <protection/>
    </xf>
    <xf numFmtId="0" fontId="34" fillId="0" borderId="0" xfId="47" applyFont="1" applyAlignment="1">
      <alignment vertical="center"/>
      <protection/>
    </xf>
    <xf numFmtId="0" fontId="0" fillId="0" borderId="0" xfId="47" applyFont="1" applyFill="1" applyAlignment="1">
      <alignment vertical="center"/>
      <protection/>
    </xf>
    <xf numFmtId="0" fontId="11" fillId="0" borderId="0" xfId="47" applyFont="1" applyAlignment="1">
      <alignment vertical="center"/>
      <protection/>
    </xf>
    <xf numFmtId="0" fontId="0" fillId="0" borderId="159" xfId="47" applyBorder="1" applyAlignment="1">
      <alignment horizontal="center" vertical="center" wrapText="1"/>
      <protection/>
    </xf>
    <xf numFmtId="0" fontId="0" fillId="0" borderId="38" xfId="47" applyBorder="1" applyAlignment="1">
      <alignment horizontal="center" vertical="center" wrapText="1"/>
      <protection/>
    </xf>
    <xf numFmtId="0" fontId="0" fillId="0" borderId="58" xfId="47" applyBorder="1" applyAlignment="1">
      <alignment horizontal="center" vertical="center" wrapText="1"/>
      <protection/>
    </xf>
    <xf numFmtId="0" fontId="0" fillId="0" borderId="160" xfId="47" applyBorder="1" applyAlignment="1">
      <alignment horizontal="center" vertical="center" wrapText="1"/>
      <protection/>
    </xf>
    <xf numFmtId="0" fontId="0" fillId="0" borderId="0" xfId="0" applyBorder="1" applyAlignment="1">
      <alignment/>
    </xf>
    <xf numFmtId="0" fontId="0" fillId="0" borderId="32" xfId="47" applyBorder="1" applyAlignment="1">
      <alignment horizontal="center" vertical="center"/>
      <protection/>
    </xf>
    <xf numFmtId="3" fontId="0" fillId="0" borderId="31" xfId="47" applyNumberFormat="1" applyBorder="1" applyAlignment="1">
      <alignment vertical="center"/>
      <protection/>
    </xf>
    <xf numFmtId="10" fontId="0" fillId="0" borderId="31" xfId="97" applyNumberFormat="1" applyBorder="1" applyAlignment="1">
      <alignment vertical="center"/>
    </xf>
    <xf numFmtId="3" fontId="0" fillId="0" borderId="27" xfId="47" applyNumberFormat="1" applyBorder="1" applyAlignment="1">
      <alignment vertical="center"/>
      <protection/>
    </xf>
    <xf numFmtId="3" fontId="0" fillId="0" borderId="29" xfId="47" applyNumberFormat="1" applyFill="1" applyBorder="1" applyAlignment="1">
      <alignment vertical="center"/>
      <protection/>
    </xf>
    <xf numFmtId="191" fontId="0" fillId="0" borderId="29" xfId="47" applyNumberFormat="1" applyFill="1" applyBorder="1" applyAlignment="1">
      <alignment vertical="center"/>
      <protection/>
    </xf>
    <xf numFmtId="3" fontId="0" fillId="0" borderId="0" xfId="0" applyNumberFormat="1" applyBorder="1" applyAlignment="1">
      <alignment/>
    </xf>
    <xf numFmtId="0" fontId="0" fillId="0" borderId="15" xfId="47" applyBorder="1" applyAlignment="1">
      <alignment horizontal="center" vertical="center"/>
      <protection/>
    </xf>
    <xf numFmtId="10" fontId="0" fillId="0" borderId="14" xfId="97" applyNumberFormat="1" applyBorder="1" applyAlignment="1">
      <alignment vertical="center"/>
    </xf>
    <xf numFmtId="3" fontId="0" fillId="0" borderId="33" xfId="47" applyNumberFormat="1" applyBorder="1" applyAlignment="1">
      <alignment vertical="center"/>
      <protection/>
    </xf>
    <xf numFmtId="3" fontId="0" fillId="0" borderId="12" xfId="47" applyNumberFormat="1" applyFill="1" applyBorder="1" applyAlignment="1">
      <alignment vertical="center"/>
      <protection/>
    </xf>
    <xf numFmtId="191" fontId="0" fillId="0" borderId="12" xfId="47" applyNumberFormat="1" applyFill="1" applyBorder="1" applyAlignment="1">
      <alignment vertical="center"/>
      <protection/>
    </xf>
    <xf numFmtId="10" fontId="0" fillId="0" borderId="0" xfId="97" applyNumberFormat="1" applyBorder="1" applyAlignment="1">
      <alignment vertical="center"/>
    </xf>
    <xf numFmtId="0" fontId="0" fillId="0" borderId="15" xfId="47" applyFill="1" applyBorder="1" applyAlignment="1">
      <alignment horizontal="center" vertical="center"/>
      <protection/>
    </xf>
    <xf numFmtId="3" fontId="0" fillId="0" borderId="14" xfId="47" applyNumberFormat="1" applyFill="1" applyBorder="1" applyAlignment="1">
      <alignment vertical="center"/>
      <protection/>
    </xf>
    <xf numFmtId="10" fontId="0" fillId="0" borderId="14" xfId="97" applyNumberFormat="1" applyFill="1" applyBorder="1" applyAlignment="1">
      <alignment vertical="center"/>
    </xf>
    <xf numFmtId="3" fontId="0" fillId="0" borderId="33" xfId="47" applyNumberFormat="1" applyFill="1" applyBorder="1" applyAlignment="1">
      <alignment vertical="center"/>
      <protection/>
    </xf>
    <xf numFmtId="0" fontId="0" fillId="0" borderId="15" xfId="47" applyFill="1" applyBorder="1" applyAlignment="1">
      <alignment horizontal="center" vertical="center" wrapText="1"/>
      <protection/>
    </xf>
    <xf numFmtId="3" fontId="0" fillId="0" borderId="33" xfId="47" applyNumberFormat="1" applyFont="1" applyFill="1" applyBorder="1" applyAlignment="1" quotePrefix="1">
      <alignment vertical="center"/>
      <protection/>
    </xf>
    <xf numFmtId="0" fontId="0" fillId="33" borderId="21" xfId="47" applyFill="1" applyBorder="1" applyAlignment="1">
      <alignment horizontal="center" vertical="center" wrapText="1"/>
      <protection/>
    </xf>
    <xf numFmtId="3" fontId="0" fillId="33" borderId="20" xfId="47" applyNumberFormat="1" applyFill="1" applyBorder="1" applyAlignment="1">
      <alignment horizontal="right" vertical="center"/>
      <protection/>
    </xf>
    <xf numFmtId="3" fontId="0" fillId="0" borderId="20" xfId="47" applyNumberFormat="1" applyFill="1" applyBorder="1" applyAlignment="1">
      <alignment vertical="center"/>
      <protection/>
    </xf>
    <xf numFmtId="3" fontId="0" fillId="0" borderId="59" xfId="47" applyNumberFormat="1" applyFont="1" applyFill="1" applyBorder="1" applyAlignment="1" quotePrefix="1">
      <alignment vertical="center"/>
      <protection/>
    </xf>
    <xf numFmtId="3" fontId="0" fillId="0" borderId="18" xfId="47" applyNumberFormat="1" applyFill="1" applyBorder="1" applyAlignment="1">
      <alignment vertical="center"/>
      <protection/>
    </xf>
    <xf numFmtId="0" fontId="0" fillId="33" borderId="52" xfId="47" applyFill="1" applyBorder="1" applyAlignment="1">
      <alignment horizontal="center" vertical="center" wrapText="1"/>
      <protection/>
    </xf>
    <xf numFmtId="3" fontId="0" fillId="0" borderId="46" xfId="47" applyNumberFormat="1" applyFont="1" applyFill="1" applyBorder="1" applyAlignment="1">
      <alignment horizontal="right" vertical="center"/>
      <protection/>
    </xf>
    <xf numFmtId="3" fontId="0" fillId="0" borderId="46" xfId="47" applyNumberFormat="1" applyFont="1" applyFill="1" applyBorder="1" applyAlignment="1">
      <alignment vertical="center"/>
      <protection/>
    </xf>
    <xf numFmtId="10" fontId="0" fillId="0" borderId="46" xfId="97" applyNumberFormat="1" applyFont="1" applyFill="1" applyBorder="1" applyAlignment="1">
      <alignment vertical="center"/>
    </xf>
    <xf numFmtId="3" fontId="0" fillId="0" borderId="47" xfId="47" applyNumberFormat="1" applyFont="1" applyFill="1" applyBorder="1" applyAlignment="1" quotePrefix="1">
      <alignment vertical="center"/>
      <protection/>
    </xf>
    <xf numFmtId="3" fontId="0" fillId="0" borderId="161" xfId="47" applyNumberFormat="1" applyFont="1" applyFill="1" applyBorder="1" applyAlignment="1">
      <alignment vertical="center"/>
      <protection/>
    </xf>
    <xf numFmtId="191" fontId="0" fillId="0" borderId="161" xfId="47" applyNumberFormat="1" applyFont="1" applyFill="1" applyBorder="1" applyAlignment="1">
      <alignment vertical="center"/>
      <protection/>
    </xf>
    <xf numFmtId="4" fontId="0" fillId="0" borderId="0" xfId="47" applyNumberFormat="1" applyAlignment="1">
      <alignment vertical="center"/>
      <protection/>
    </xf>
    <xf numFmtId="0" fontId="0" fillId="0" borderId="0" xfId="47" applyFont="1" applyAlignment="1">
      <alignment horizontal="left" vertical="center"/>
      <protection/>
    </xf>
    <xf numFmtId="3" fontId="93" fillId="0" borderId="0" xfId="47" applyNumberFormat="1" applyFont="1" applyAlignment="1">
      <alignment vertical="center"/>
      <protection/>
    </xf>
    <xf numFmtId="0" fontId="93" fillId="0" borderId="0" xfId="47" applyFont="1">
      <alignment/>
      <protection/>
    </xf>
    <xf numFmtId="4" fontId="93" fillId="0" borderId="0" xfId="47" applyNumberFormat="1" applyFont="1" applyAlignment="1">
      <alignment vertical="center"/>
      <protection/>
    </xf>
    <xf numFmtId="0" fontId="93" fillId="0" borderId="0" xfId="47" applyFont="1" applyAlignment="1">
      <alignment vertical="center"/>
      <protection/>
    </xf>
    <xf numFmtId="0" fontId="93" fillId="0" borderId="0" xfId="47" applyFont="1" applyFill="1" applyAlignment="1">
      <alignment vertical="center"/>
      <protection/>
    </xf>
    <xf numFmtId="0" fontId="45" fillId="0" borderId="0" xfId="87" applyFont="1" applyAlignment="1">
      <alignment vertical="center"/>
      <protection/>
    </xf>
    <xf numFmtId="0" fontId="1" fillId="0" borderId="0" xfId="87" applyAlignment="1">
      <alignment vertical="center"/>
      <protection/>
    </xf>
    <xf numFmtId="0" fontId="46" fillId="0" borderId="0" xfId="87" applyFont="1" applyAlignment="1">
      <alignment vertical="center"/>
      <protection/>
    </xf>
    <xf numFmtId="0" fontId="1" fillId="0" borderId="0" xfId="87" applyBorder="1" applyAlignment="1">
      <alignment horizontal="center" vertical="center"/>
      <protection/>
    </xf>
    <xf numFmtId="0" fontId="1" fillId="0" borderId="29" xfId="87" applyFill="1" applyBorder="1" applyAlignment="1">
      <alignment horizontal="center" vertical="center"/>
      <protection/>
    </xf>
    <xf numFmtId="3" fontId="1" fillId="0" borderId="32" xfId="87" applyNumberFormat="1" applyBorder="1" applyAlignment="1">
      <alignment vertical="center"/>
      <protection/>
    </xf>
    <xf numFmtId="3" fontId="1" fillId="0" borderId="31" xfId="87" applyNumberFormat="1" applyBorder="1" applyAlignment="1">
      <alignment vertical="center"/>
      <protection/>
    </xf>
    <xf numFmtId="3" fontId="1" fillId="0" borderId="42" xfId="87" applyNumberFormat="1" applyBorder="1" applyAlignment="1">
      <alignment vertical="center"/>
      <protection/>
    </xf>
    <xf numFmtId="3" fontId="1" fillId="0" borderId="29" xfId="87" applyNumberFormat="1" applyBorder="1" applyAlignment="1">
      <alignment vertical="center"/>
      <protection/>
    </xf>
    <xf numFmtId="0" fontId="1" fillId="0" borderId="30" xfId="87" applyBorder="1" applyAlignment="1">
      <alignment vertical="center"/>
      <protection/>
    </xf>
    <xf numFmtId="0" fontId="1" fillId="0" borderId="42" xfId="87" applyBorder="1" applyAlignment="1">
      <alignment vertical="center"/>
      <protection/>
    </xf>
    <xf numFmtId="0" fontId="1" fillId="0" borderId="12" xfId="87" applyFill="1" applyBorder="1" applyAlignment="1">
      <alignment horizontal="center" vertical="center"/>
      <protection/>
    </xf>
    <xf numFmtId="3" fontId="1" fillId="0" borderId="15" xfId="87" applyNumberFormat="1" applyBorder="1" applyAlignment="1">
      <alignment vertical="center"/>
      <protection/>
    </xf>
    <xf numFmtId="3" fontId="1" fillId="0" borderId="14" xfId="87" applyNumberFormat="1" applyFill="1" applyBorder="1" applyAlignment="1">
      <alignment vertical="center"/>
      <protection/>
    </xf>
    <xf numFmtId="3" fontId="1" fillId="0" borderId="14" xfId="87" applyNumberFormat="1" applyBorder="1" applyAlignment="1">
      <alignment vertical="center"/>
      <protection/>
    </xf>
    <xf numFmtId="3" fontId="1" fillId="0" borderId="45" xfId="87" applyNumberFormat="1" applyBorder="1" applyAlignment="1">
      <alignment vertical="center"/>
      <protection/>
    </xf>
    <xf numFmtId="3" fontId="1" fillId="0" borderId="12" xfId="87" applyNumberFormat="1" applyBorder="1" applyAlignment="1">
      <alignment vertical="center"/>
      <protection/>
    </xf>
    <xf numFmtId="3" fontId="1" fillId="0" borderId="13" xfId="87" applyNumberFormat="1" applyBorder="1" applyAlignment="1">
      <alignment vertical="center"/>
      <protection/>
    </xf>
    <xf numFmtId="191" fontId="1" fillId="0" borderId="45" xfId="87" applyNumberFormat="1" applyBorder="1" applyAlignment="1">
      <alignment vertical="center"/>
      <protection/>
    </xf>
    <xf numFmtId="0" fontId="1" fillId="0" borderId="12" xfId="87" applyBorder="1" applyAlignment="1">
      <alignment horizontal="center" vertical="center"/>
      <protection/>
    </xf>
    <xf numFmtId="0" fontId="1" fillId="33" borderId="12" xfId="87" applyFill="1" applyBorder="1" applyAlignment="1">
      <alignment horizontal="center" vertical="center"/>
      <protection/>
    </xf>
    <xf numFmtId="3" fontId="0" fillId="0" borderId="0" xfId="47" applyNumberFormat="1">
      <alignment/>
      <protection/>
    </xf>
    <xf numFmtId="0" fontId="1" fillId="33" borderId="162" xfId="87" applyFill="1" applyBorder="1" applyAlignment="1">
      <alignment horizontal="center" vertical="center"/>
      <protection/>
    </xf>
    <xf numFmtId="3" fontId="1" fillId="0" borderId="53" xfId="87" applyNumberFormat="1" applyBorder="1" applyAlignment="1">
      <alignment vertical="center"/>
      <protection/>
    </xf>
    <xf numFmtId="3" fontId="1" fillId="0" borderId="50" xfId="87" applyNumberFormat="1" applyBorder="1" applyAlignment="1">
      <alignment vertical="center"/>
      <protection/>
    </xf>
    <xf numFmtId="3" fontId="1" fillId="0" borderId="158" xfId="87" applyNumberFormat="1" applyFill="1" applyBorder="1" applyAlignment="1">
      <alignment vertical="center"/>
      <protection/>
    </xf>
    <xf numFmtId="3" fontId="1" fillId="0" borderId="161" xfId="87" applyNumberFormat="1" applyBorder="1" applyAlignment="1">
      <alignment vertical="center"/>
      <protection/>
    </xf>
    <xf numFmtId="3" fontId="1" fillId="0" borderId="163" xfId="87" applyNumberFormat="1" applyBorder="1" applyAlignment="1">
      <alignment vertical="center"/>
      <protection/>
    </xf>
    <xf numFmtId="191" fontId="1" fillId="0" borderId="10" xfId="87" applyNumberFormat="1" applyBorder="1" applyAlignment="1">
      <alignment vertical="center"/>
      <protection/>
    </xf>
    <xf numFmtId="0" fontId="1" fillId="33" borderId="0" xfId="87" applyFill="1" applyBorder="1" applyAlignment="1">
      <alignment horizontal="center" vertical="center"/>
      <protection/>
    </xf>
    <xf numFmtId="3" fontId="1" fillId="0" borderId="0" xfId="87" applyNumberFormat="1" applyBorder="1" applyAlignment="1">
      <alignment vertical="center"/>
      <protection/>
    </xf>
    <xf numFmtId="3" fontId="1" fillId="0" borderId="0" xfId="87" applyNumberFormat="1" applyFill="1" applyBorder="1" applyAlignment="1">
      <alignment vertical="center"/>
      <protection/>
    </xf>
    <xf numFmtId="191" fontId="1" fillId="0" borderId="0" xfId="87" applyNumberFormat="1" applyBorder="1" applyAlignment="1">
      <alignment vertical="center"/>
      <protection/>
    </xf>
    <xf numFmtId="0" fontId="34" fillId="37" borderId="43" xfId="47" applyFont="1" applyFill="1" applyBorder="1" applyAlignment="1">
      <alignment vertical="center"/>
      <protection/>
    </xf>
    <xf numFmtId="0" fontId="34" fillId="37" borderId="14" xfId="47" applyFont="1" applyFill="1" applyBorder="1" applyAlignment="1">
      <alignment vertical="center"/>
      <protection/>
    </xf>
    <xf numFmtId="0" fontId="34" fillId="37" borderId="107" xfId="47" applyFont="1" applyFill="1" applyBorder="1" applyAlignment="1">
      <alignment vertical="center"/>
      <protection/>
    </xf>
    <xf numFmtId="0" fontId="12" fillId="33" borderId="38" xfId="89" applyFont="1" applyFill="1" applyBorder="1" applyAlignment="1">
      <alignment horizontal="center" vertical="center"/>
      <protection/>
    </xf>
    <xf numFmtId="0" fontId="11" fillId="33" borderId="0" xfId="89" applyFont="1" applyFill="1" applyBorder="1" applyAlignment="1">
      <alignment horizontal="center" vertical="center"/>
      <protection/>
    </xf>
    <xf numFmtId="0" fontId="0" fillId="0" borderId="0" xfId="66" applyFont="1">
      <alignment/>
      <protection/>
    </xf>
    <xf numFmtId="1" fontId="26" fillId="0" borderId="50" xfId="89" applyNumberFormat="1" applyFont="1" applyFill="1" applyBorder="1" applyAlignment="1">
      <alignment horizontal="center" vertical="center"/>
      <protection/>
    </xf>
    <xf numFmtId="1" fontId="26" fillId="0" borderId="65" xfId="89" applyNumberFormat="1" applyFont="1" applyFill="1" applyBorder="1" applyAlignment="1">
      <alignment horizontal="center" vertical="center"/>
      <protection/>
    </xf>
    <xf numFmtId="1" fontId="26" fillId="0" borderId="155" xfId="89" applyNumberFormat="1" applyFont="1" applyFill="1" applyBorder="1" applyAlignment="1">
      <alignment horizontal="center" vertical="center"/>
      <protection/>
    </xf>
    <xf numFmtId="1" fontId="10" fillId="7" borderId="164" xfId="89" applyNumberFormat="1" applyFont="1" applyFill="1" applyBorder="1" applyAlignment="1">
      <alignment horizontal="center" vertical="center"/>
      <protection/>
    </xf>
    <xf numFmtId="1" fontId="26" fillId="0" borderId="158" xfId="89" applyNumberFormat="1" applyFont="1" applyFill="1" applyBorder="1" applyAlignment="1">
      <alignment horizontal="center" vertical="center"/>
      <protection/>
    </xf>
    <xf numFmtId="10" fontId="25" fillId="33" borderId="0" xfId="89" applyNumberFormat="1" applyFont="1" applyFill="1" applyBorder="1" applyAlignment="1">
      <alignment horizontal="center" vertical="center"/>
      <protection/>
    </xf>
    <xf numFmtId="3" fontId="25" fillId="7" borderId="165" xfId="89" applyNumberFormat="1" applyFont="1" applyFill="1" applyBorder="1" applyAlignment="1">
      <alignment horizontal="center" vertical="center"/>
      <protection/>
    </xf>
    <xf numFmtId="0" fontId="25" fillId="33" borderId="147" xfId="89" applyFont="1" applyFill="1" applyBorder="1" applyAlignment="1">
      <alignment vertical="center"/>
      <protection/>
    </xf>
    <xf numFmtId="0" fontId="11" fillId="0" borderId="0" xfId="52" applyFont="1">
      <alignment/>
      <protection/>
    </xf>
    <xf numFmtId="191" fontId="25" fillId="33" borderId="38" xfId="89" applyNumberFormat="1" applyFont="1" applyFill="1" applyBorder="1" applyAlignment="1">
      <alignment vertical="center"/>
      <protection/>
    </xf>
    <xf numFmtId="191" fontId="25" fillId="33" borderId="39" xfId="89" applyNumberFormat="1" applyFont="1" applyFill="1" applyBorder="1" applyAlignment="1">
      <alignment vertical="center"/>
      <protection/>
    </xf>
    <xf numFmtId="191" fontId="25" fillId="33" borderId="166" xfId="89" applyNumberFormat="1" applyFont="1" applyFill="1" applyBorder="1" applyAlignment="1">
      <alignment vertical="center"/>
      <protection/>
    </xf>
    <xf numFmtId="3" fontId="11" fillId="7" borderId="167" xfId="89" applyNumberFormat="1" applyFont="1" applyFill="1" applyBorder="1" applyAlignment="1">
      <alignment vertical="center"/>
      <protection/>
    </xf>
    <xf numFmtId="191" fontId="25" fillId="33" borderId="40" xfId="89" applyNumberFormat="1" applyFont="1" applyFill="1" applyBorder="1" applyAlignment="1">
      <alignment vertical="center"/>
      <protection/>
    </xf>
    <xf numFmtId="191" fontId="25" fillId="33" borderId="14" xfId="89" applyNumberFormat="1" applyFont="1" applyFill="1" applyBorder="1" applyAlignment="1">
      <alignment horizontal="center" vertical="center"/>
      <protection/>
    </xf>
    <xf numFmtId="191" fontId="25" fillId="33" borderId="33" xfId="89" applyNumberFormat="1" applyFont="1" applyFill="1" applyBorder="1" applyAlignment="1">
      <alignment horizontal="center" vertical="center"/>
      <protection/>
    </xf>
    <xf numFmtId="191" fontId="25" fillId="33" borderId="13" xfId="89" applyNumberFormat="1" applyFont="1" applyFill="1" applyBorder="1" applyAlignment="1">
      <alignment horizontal="center" vertical="center"/>
      <protection/>
    </xf>
    <xf numFmtId="3" fontId="11" fillId="7" borderId="168" xfId="89" applyNumberFormat="1" applyFont="1" applyFill="1" applyBorder="1" applyAlignment="1">
      <alignment horizontal="center" vertical="center"/>
      <protection/>
    </xf>
    <xf numFmtId="191" fontId="25" fillId="33" borderId="45" xfId="89" applyNumberFormat="1" applyFont="1" applyFill="1" applyBorder="1" applyAlignment="1">
      <alignment horizontal="center" vertical="center"/>
      <protection/>
    </xf>
    <xf numFmtId="191" fontId="25" fillId="33" borderId="46" xfId="89" applyNumberFormat="1" applyFont="1" applyFill="1" applyBorder="1" applyAlignment="1">
      <alignment vertical="center"/>
      <protection/>
    </xf>
    <xf numFmtId="191" fontId="25" fillId="33" borderId="47" xfId="89" applyNumberFormat="1" applyFont="1" applyFill="1" applyBorder="1" applyAlignment="1">
      <alignment vertical="center"/>
      <protection/>
    </xf>
    <xf numFmtId="191" fontId="25" fillId="33" borderId="163" xfId="89" applyNumberFormat="1" applyFont="1" applyFill="1" applyBorder="1" applyAlignment="1">
      <alignment vertical="center"/>
      <protection/>
    </xf>
    <xf numFmtId="191" fontId="25" fillId="33" borderId="47" xfId="89" applyNumberFormat="1" applyFont="1" applyFill="1" applyBorder="1" applyAlignment="1">
      <alignment horizontal="right" vertical="center"/>
      <protection/>
    </xf>
    <xf numFmtId="3" fontId="11" fillId="7" borderId="169" xfId="89" applyNumberFormat="1" applyFont="1" applyFill="1" applyBorder="1" applyAlignment="1">
      <alignment vertical="center"/>
      <protection/>
    </xf>
    <xf numFmtId="191" fontId="25" fillId="33" borderId="10" xfId="89" applyNumberFormat="1" applyFont="1" applyFill="1" applyBorder="1" applyAlignment="1">
      <alignment horizontal="right" vertical="center"/>
      <protection/>
    </xf>
    <xf numFmtId="191" fontId="28" fillId="33" borderId="50" xfId="89" applyNumberFormat="1" applyFont="1" applyFill="1" applyBorder="1" applyAlignment="1">
      <alignment horizontal="right" vertical="center"/>
      <protection/>
    </xf>
    <xf numFmtId="191" fontId="28" fillId="33" borderId="65" xfId="89" applyNumberFormat="1" applyFont="1" applyFill="1" applyBorder="1" applyAlignment="1">
      <alignment horizontal="right" vertical="center"/>
      <protection/>
    </xf>
    <xf numFmtId="191" fontId="28" fillId="33" borderId="155" xfId="89" applyNumberFormat="1" applyFont="1" applyFill="1" applyBorder="1" applyAlignment="1">
      <alignment horizontal="right" vertical="center"/>
      <protection/>
    </xf>
    <xf numFmtId="191" fontId="27" fillId="33" borderId="65" xfId="89" applyNumberFormat="1" applyFont="1" applyFill="1" applyBorder="1" applyAlignment="1">
      <alignment horizontal="right" vertical="center"/>
      <protection/>
    </xf>
    <xf numFmtId="3" fontId="27" fillId="7" borderId="164" xfId="89" applyNumberFormat="1" applyFont="1" applyFill="1" applyBorder="1" applyAlignment="1">
      <alignment horizontal="right" vertical="center"/>
      <protection/>
    </xf>
    <xf numFmtId="191" fontId="27" fillId="33" borderId="158" xfId="89" applyNumberFormat="1" applyFont="1" applyFill="1" applyBorder="1" applyAlignment="1">
      <alignment horizontal="right" vertical="center"/>
      <protection/>
    </xf>
    <xf numFmtId="0" fontId="25" fillId="33" borderId="0" xfId="47" applyFont="1" applyFill="1" applyBorder="1" applyAlignment="1">
      <alignment horizontal="right"/>
      <protection/>
    </xf>
    <xf numFmtId="180" fontId="25" fillId="33" borderId="0" xfId="89" applyNumberFormat="1" applyFont="1" applyFill="1" applyBorder="1" applyAlignment="1">
      <alignment horizontal="right" vertical="center"/>
      <protection/>
    </xf>
    <xf numFmtId="3" fontId="25" fillId="7" borderId="165" xfId="89" applyNumberFormat="1" applyFont="1" applyFill="1" applyBorder="1" applyAlignment="1">
      <alignment horizontal="right" vertical="center"/>
      <protection/>
    </xf>
    <xf numFmtId="180" fontId="25" fillId="33" borderId="147" xfId="89" applyNumberFormat="1" applyFont="1" applyFill="1" applyBorder="1" applyAlignment="1">
      <alignment horizontal="right" vertical="center"/>
      <protection/>
    </xf>
    <xf numFmtId="191" fontId="25" fillId="33" borderId="0" xfId="89" applyNumberFormat="1" applyFont="1" applyFill="1" applyBorder="1" applyAlignment="1">
      <alignment horizontal="right" vertical="center"/>
      <protection/>
    </xf>
    <xf numFmtId="191" fontId="25" fillId="33" borderId="147" xfId="89" applyNumberFormat="1" applyFont="1" applyFill="1" applyBorder="1" applyAlignment="1">
      <alignment horizontal="right" vertical="center"/>
      <protection/>
    </xf>
    <xf numFmtId="191" fontId="25" fillId="33" borderId="31" xfId="89" applyNumberFormat="1" applyFont="1" applyFill="1" applyBorder="1" applyAlignment="1">
      <alignment horizontal="right" vertical="center"/>
      <protection/>
    </xf>
    <xf numFmtId="191" fontId="25" fillId="33" borderId="27" xfId="89" applyNumberFormat="1" applyFont="1" applyFill="1" applyBorder="1" applyAlignment="1">
      <alignment horizontal="right" vertical="center"/>
      <protection/>
    </xf>
    <xf numFmtId="191" fontId="25" fillId="33" borderId="30" xfId="89" applyNumberFormat="1" applyFont="1" applyFill="1" applyBorder="1" applyAlignment="1">
      <alignment horizontal="right" vertical="center"/>
      <protection/>
    </xf>
    <xf numFmtId="3" fontId="11" fillId="7" borderId="167" xfId="89" applyNumberFormat="1" applyFont="1" applyFill="1" applyBorder="1" applyAlignment="1">
      <alignment horizontal="right" vertical="center"/>
      <protection/>
    </xf>
    <xf numFmtId="191" fontId="25" fillId="33" borderId="142" xfId="89" applyNumberFormat="1" applyFont="1" applyFill="1" applyBorder="1" applyAlignment="1">
      <alignment horizontal="right" vertical="center"/>
      <protection/>
    </xf>
    <xf numFmtId="191" fontId="25" fillId="33" borderId="14" xfId="89" applyNumberFormat="1" applyFont="1" applyFill="1" applyBorder="1" applyAlignment="1">
      <alignment horizontal="right" vertical="center"/>
      <protection/>
    </xf>
    <xf numFmtId="191" fontId="25" fillId="33" borderId="33" xfId="89" applyNumberFormat="1" applyFont="1" applyFill="1" applyBorder="1" applyAlignment="1">
      <alignment horizontal="right" vertical="center"/>
      <protection/>
    </xf>
    <xf numFmtId="191" fontId="25" fillId="33" borderId="13" xfId="89" applyNumberFormat="1" applyFont="1" applyFill="1" applyBorder="1" applyAlignment="1">
      <alignment horizontal="right" vertical="center"/>
      <protection/>
    </xf>
    <xf numFmtId="3" fontId="11" fillId="7" borderId="168" xfId="89" applyNumberFormat="1" applyFont="1" applyFill="1" applyBorder="1" applyAlignment="1">
      <alignment horizontal="right" vertical="center"/>
      <protection/>
    </xf>
    <xf numFmtId="191" fontId="25" fillId="33" borderId="11" xfId="89" applyNumberFormat="1" applyFont="1" applyFill="1" applyBorder="1" applyAlignment="1">
      <alignment horizontal="right" vertical="center"/>
      <protection/>
    </xf>
    <xf numFmtId="3" fontId="11" fillId="0" borderId="0" xfId="52" applyNumberFormat="1" applyFont="1">
      <alignment/>
      <protection/>
    </xf>
    <xf numFmtId="191" fontId="25" fillId="33" borderId="46" xfId="89" applyNumberFormat="1" applyFont="1" applyFill="1" applyBorder="1" applyAlignment="1">
      <alignment horizontal="right" vertical="center"/>
      <protection/>
    </xf>
    <xf numFmtId="191" fontId="25" fillId="33" borderId="163" xfId="89" applyNumberFormat="1" applyFont="1" applyFill="1" applyBorder="1" applyAlignment="1">
      <alignment horizontal="right" vertical="center"/>
      <protection/>
    </xf>
    <xf numFmtId="3" fontId="11" fillId="7" borderId="169" xfId="89" applyNumberFormat="1" applyFont="1" applyFill="1" applyBorder="1" applyAlignment="1">
      <alignment horizontal="right" vertical="center"/>
      <protection/>
    </xf>
    <xf numFmtId="191" fontId="25" fillId="33" borderId="48" xfId="89" applyNumberFormat="1" applyFont="1" applyFill="1" applyBorder="1" applyAlignment="1">
      <alignment horizontal="right" vertical="center"/>
      <protection/>
    </xf>
    <xf numFmtId="3" fontId="11" fillId="7" borderId="170" xfId="89" applyNumberFormat="1" applyFont="1" applyFill="1" applyBorder="1" applyAlignment="1">
      <alignment horizontal="right" vertical="center"/>
      <protection/>
    </xf>
    <xf numFmtId="191" fontId="25" fillId="33" borderId="42" xfId="89" applyNumberFormat="1" applyFont="1" applyFill="1" applyBorder="1" applyAlignment="1">
      <alignment horizontal="right" vertical="center"/>
      <protection/>
    </xf>
    <xf numFmtId="191" fontId="25" fillId="33" borderId="45" xfId="89" applyNumberFormat="1" applyFont="1" applyFill="1" applyBorder="1" applyAlignment="1">
      <alignment horizontal="right" vertical="center"/>
      <protection/>
    </xf>
    <xf numFmtId="3" fontId="25" fillId="7" borderId="171" xfId="89" applyNumberFormat="1" applyFont="1" applyFill="1" applyBorder="1" applyAlignment="1">
      <alignment horizontal="right" vertical="center"/>
      <protection/>
    </xf>
    <xf numFmtId="3" fontId="25" fillId="7" borderId="168" xfId="89" applyNumberFormat="1" applyFont="1" applyFill="1" applyBorder="1" applyAlignment="1">
      <alignment horizontal="right" vertical="center"/>
      <protection/>
    </xf>
    <xf numFmtId="191" fontId="25" fillId="33" borderId="35" xfId="89" applyNumberFormat="1" applyFont="1" applyFill="1" applyBorder="1" applyAlignment="1">
      <alignment horizontal="right" vertical="center"/>
      <protection/>
    </xf>
    <xf numFmtId="191" fontId="25" fillId="33" borderId="36" xfId="89" applyNumberFormat="1" applyFont="1" applyFill="1" applyBorder="1" applyAlignment="1">
      <alignment horizontal="right" vertical="center"/>
      <protection/>
    </xf>
    <xf numFmtId="191" fontId="25" fillId="33" borderId="67" xfId="89" applyNumberFormat="1" applyFont="1" applyFill="1" applyBorder="1" applyAlignment="1">
      <alignment horizontal="right" vertical="center"/>
      <protection/>
    </xf>
    <xf numFmtId="3" fontId="11" fillId="7" borderId="172" xfId="89" applyNumberFormat="1" applyFont="1" applyFill="1" applyBorder="1" applyAlignment="1">
      <alignment horizontal="right" vertical="center"/>
      <protection/>
    </xf>
    <xf numFmtId="191" fontId="25" fillId="33" borderId="37" xfId="89" applyNumberFormat="1" applyFont="1" applyFill="1" applyBorder="1" applyAlignment="1">
      <alignment horizontal="right" vertical="center"/>
      <protection/>
    </xf>
    <xf numFmtId="191" fontId="25" fillId="33" borderId="44" xfId="89" applyNumberFormat="1" applyFont="1" applyFill="1" applyBorder="1" applyAlignment="1">
      <alignment horizontal="right" vertical="center"/>
      <protection/>
    </xf>
    <xf numFmtId="3" fontId="11" fillId="7" borderId="171" xfId="89" applyNumberFormat="1" applyFont="1" applyFill="1" applyBorder="1" applyAlignment="1">
      <alignment horizontal="right" vertical="center"/>
      <protection/>
    </xf>
    <xf numFmtId="191" fontId="25" fillId="33" borderId="41" xfId="89" applyNumberFormat="1" applyFont="1" applyFill="1" applyBorder="1" applyAlignment="1">
      <alignment horizontal="right" vertical="center"/>
      <protection/>
    </xf>
    <xf numFmtId="191" fontId="25" fillId="33" borderId="20" xfId="89" applyNumberFormat="1" applyFont="1" applyFill="1" applyBorder="1" applyAlignment="1">
      <alignment horizontal="right" vertical="center"/>
      <protection/>
    </xf>
    <xf numFmtId="191" fontId="25" fillId="33" borderId="59" xfId="89" applyNumberFormat="1" applyFont="1" applyFill="1" applyBorder="1" applyAlignment="1">
      <alignment horizontal="right" vertical="center"/>
      <protection/>
    </xf>
    <xf numFmtId="191" fontId="25" fillId="33" borderId="19" xfId="89" applyNumberFormat="1" applyFont="1" applyFill="1" applyBorder="1" applyAlignment="1">
      <alignment horizontal="right" vertical="center"/>
      <protection/>
    </xf>
    <xf numFmtId="3" fontId="11" fillId="7" borderId="173" xfId="89" applyNumberFormat="1" applyFont="1" applyFill="1" applyBorder="1" applyAlignment="1">
      <alignment horizontal="right" vertical="center"/>
      <protection/>
    </xf>
    <xf numFmtId="191" fontId="25" fillId="33" borderId="68" xfId="89" applyNumberFormat="1" applyFont="1" applyFill="1" applyBorder="1" applyAlignment="1">
      <alignment horizontal="right" vertical="center"/>
      <protection/>
    </xf>
    <xf numFmtId="3" fontId="11" fillId="7" borderId="172" xfId="47" applyNumberFormat="1" applyFont="1" applyFill="1" applyBorder="1" applyAlignment="1">
      <alignment horizontal="right" vertical="center"/>
      <protection/>
    </xf>
    <xf numFmtId="191" fontId="25" fillId="0" borderId="31" xfId="89" applyNumberFormat="1" applyFont="1" applyFill="1" applyBorder="1" applyAlignment="1">
      <alignment horizontal="right" vertical="center"/>
      <protection/>
    </xf>
    <xf numFmtId="191" fontId="25" fillId="0" borderId="27" xfId="89" applyNumberFormat="1" applyFont="1" applyFill="1" applyBorder="1" applyAlignment="1">
      <alignment horizontal="right" vertical="center"/>
      <protection/>
    </xf>
    <xf numFmtId="191" fontId="25" fillId="0" borderId="30" xfId="89" applyNumberFormat="1" applyFont="1" applyFill="1" applyBorder="1" applyAlignment="1">
      <alignment horizontal="right" vertical="center"/>
      <protection/>
    </xf>
    <xf numFmtId="191" fontId="25" fillId="0" borderId="14" xfId="89" applyNumberFormat="1" applyFont="1" applyFill="1" applyBorder="1" applyAlignment="1">
      <alignment horizontal="right" vertical="center"/>
      <protection/>
    </xf>
    <xf numFmtId="191" fontId="25" fillId="0" borderId="33" xfId="89" applyNumberFormat="1" applyFont="1" applyFill="1" applyBorder="1" applyAlignment="1">
      <alignment horizontal="right" vertical="center"/>
      <protection/>
    </xf>
    <xf numFmtId="191" fontId="25" fillId="0" borderId="13" xfId="89" applyNumberFormat="1" applyFont="1" applyFill="1" applyBorder="1" applyAlignment="1">
      <alignment horizontal="right" vertical="center"/>
      <protection/>
    </xf>
    <xf numFmtId="191" fontId="25" fillId="0" borderId="43" xfId="89" applyNumberFormat="1" applyFont="1" applyFill="1" applyBorder="1" applyAlignment="1">
      <alignment horizontal="right" vertical="center"/>
      <protection/>
    </xf>
    <xf numFmtId="191" fontId="25" fillId="0" borderId="44" xfId="89" applyNumberFormat="1" applyFont="1" applyFill="1" applyBorder="1" applyAlignment="1">
      <alignment horizontal="right" vertical="center"/>
      <protection/>
    </xf>
    <xf numFmtId="191" fontId="25" fillId="0" borderId="64" xfId="89" applyNumberFormat="1" applyFont="1" applyFill="1" applyBorder="1" applyAlignment="1">
      <alignment horizontal="right" vertical="center"/>
      <protection/>
    </xf>
    <xf numFmtId="0" fontId="49" fillId="33" borderId="0" xfId="89" applyFont="1" applyFill="1" applyBorder="1" applyAlignment="1">
      <alignment vertical="center"/>
      <protection/>
    </xf>
    <xf numFmtId="0" fontId="25" fillId="33" borderId="0" xfId="89" applyFont="1" applyFill="1" applyBorder="1" applyAlignment="1">
      <alignment horizontal="right" vertical="center"/>
      <protection/>
    </xf>
    <xf numFmtId="0" fontId="25" fillId="33" borderId="147" xfId="89" applyFont="1" applyFill="1" applyBorder="1" applyAlignment="1">
      <alignment horizontal="right" vertical="center"/>
      <protection/>
    </xf>
    <xf numFmtId="0" fontId="49" fillId="0" borderId="0" xfId="89" applyFont="1" applyFill="1" applyAlignment="1">
      <alignment vertical="center"/>
      <protection/>
    </xf>
    <xf numFmtId="191" fontId="28" fillId="33" borderId="31" xfId="89" applyNumberFormat="1" applyFont="1" applyFill="1" applyBorder="1" applyAlignment="1">
      <alignment horizontal="right" vertical="center"/>
      <protection/>
    </xf>
    <xf numFmtId="191" fontId="28" fillId="33" borderId="27" xfId="89" applyNumberFormat="1" applyFont="1" applyFill="1" applyBorder="1" applyAlignment="1">
      <alignment horizontal="right" vertical="center"/>
      <protection/>
    </xf>
    <xf numFmtId="191" fontId="28" fillId="33" borderId="30" xfId="89" applyNumberFormat="1" applyFont="1" applyFill="1" applyBorder="1" applyAlignment="1">
      <alignment horizontal="right" vertical="center"/>
      <protection/>
    </xf>
    <xf numFmtId="191" fontId="27" fillId="33" borderId="27" xfId="89" applyNumberFormat="1" applyFont="1" applyFill="1" applyBorder="1" applyAlignment="1">
      <alignment horizontal="right" vertical="center"/>
      <protection/>
    </xf>
    <xf numFmtId="3" fontId="12" fillId="7" borderId="170" xfId="89" applyNumberFormat="1" applyFont="1" applyFill="1" applyBorder="1" applyAlignment="1">
      <alignment horizontal="right" vertical="center"/>
      <protection/>
    </xf>
    <xf numFmtId="191" fontId="27" fillId="33" borderId="42" xfId="89" applyNumberFormat="1" applyFont="1" applyFill="1" applyBorder="1" applyAlignment="1">
      <alignment horizontal="right" vertical="center"/>
      <protection/>
    </xf>
    <xf numFmtId="191" fontId="28" fillId="33" borderId="13" xfId="89" applyNumberFormat="1" applyFont="1" applyFill="1" applyBorder="1" applyAlignment="1">
      <alignment horizontal="right" vertical="center"/>
      <protection/>
    </xf>
    <xf numFmtId="191" fontId="28" fillId="33" borderId="33" xfId="89" applyNumberFormat="1" applyFont="1" applyFill="1" applyBorder="1" applyAlignment="1">
      <alignment horizontal="right" vertical="center"/>
      <protection/>
    </xf>
    <xf numFmtId="3" fontId="24" fillId="7" borderId="168" xfId="89" applyNumberFormat="1" applyFont="1" applyFill="1" applyBorder="1" applyAlignment="1">
      <alignment horizontal="right" vertical="center"/>
      <protection/>
    </xf>
    <xf numFmtId="191" fontId="28" fillId="33" borderId="45" xfId="89" applyNumberFormat="1" applyFont="1" applyFill="1" applyBorder="1" applyAlignment="1">
      <alignment horizontal="right" vertical="center"/>
      <protection/>
    </xf>
    <xf numFmtId="191" fontId="28" fillId="33" borderId="14" xfId="89" applyNumberFormat="1" applyFont="1" applyFill="1" applyBorder="1" applyAlignment="1">
      <alignment horizontal="right" vertical="center"/>
      <protection/>
    </xf>
    <xf numFmtId="191" fontId="27" fillId="33" borderId="33" xfId="89" applyNumberFormat="1" applyFont="1" applyFill="1" applyBorder="1" applyAlignment="1">
      <alignment horizontal="right" vertical="center"/>
      <protection/>
    </xf>
    <xf numFmtId="3" fontId="12" fillId="7" borderId="168" xfId="89" applyNumberFormat="1" applyFont="1" applyFill="1" applyBorder="1" applyAlignment="1">
      <alignment horizontal="right" vertical="center"/>
      <protection/>
    </xf>
    <xf numFmtId="191" fontId="27" fillId="33" borderId="45" xfId="89" applyNumberFormat="1" applyFont="1" applyFill="1" applyBorder="1" applyAlignment="1">
      <alignment horizontal="right" vertical="center"/>
      <protection/>
    </xf>
    <xf numFmtId="191" fontId="28" fillId="33" borderId="46" xfId="89" applyNumberFormat="1" applyFont="1" applyFill="1" applyBorder="1" applyAlignment="1">
      <alignment horizontal="right" vertical="center"/>
      <protection/>
    </xf>
    <xf numFmtId="191" fontId="28" fillId="33" borderId="47" xfId="89" applyNumberFormat="1" applyFont="1" applyFill="1" applyBorder="1" applyAlignment="1">
      <alignment horizontal="right" vertical="center"/>
      <protection/>
    </xf>
    <xf numFmtId="191" fontId="28" fillId="33" borderId="163" xfId="89" applyNumberFormat="1" applyFont="1" applyFill="1" applyBorder="1" applyAlignment="1">
      <alignment horizontal="right" vertical="center"/>
      <protection/>
    </xf>
    <xf numFmtId="3" fontId="27" fillId="33" borderId="47" xfId="89" applyNumberFormat="1" applyFont="1" applyFill="1" applyBorder="1" applyAlignment="1">
      <alignment horizontal="right" vertical="center"/>
      <protection/>
    </xf>
    <xf numFmtId="3" fontId="24" fillId="7" borderId="174" xfId="89" applyNumberFormat="1" applyFont="1" applyFill="1" applyBorder="1" applyAlignment="1">
      <alignment horizontal="right" vertical="center"/>
      <protection/>
    </xf>
    <xf numFmtId="3" fontId="27" fillId="33" borderId="10" xfId="89" applyNumberFormat="1" applyFont="1" applyFill="1" applyBorder="1" applyAlignment="1">
      <alignment horizontal="right" vertical="center"/>
      <protection/>
    </xf>
    <xf numFmtId="0" fontId="12" fillId="33" borderId="47" xfId="89" applyFont="1" applyFill="1" applyBorder="1" applyAlignment="1">
      <alignment horizontal="left" vertical="center"/>
      <protection/>
    </xf>
    <xf numFmtId="0" fontId="12" fillId="33" borderId="157" xfId="89" applyFont="1" applyFill="1" applyBorder="1" applyAlignment="1">
      <alignment horizontal="left" vertical="center"/>
      <protection/>
    </xf>
    <xf numFmtId="0" fontId="11" fillId="0" borderId="47" xfId="89" applyFont="1" applyFill="1" applyBorder="1" applyAlignment="1">
      <alignment horizontal="left" vertical="center"/>
      <protection/>
    </xf>
    <xf numFmtId="0" fontId="11" fillId="0" borderId="157" xfId="89" applyFont="1" applyFill="1" applyBorder="1" applyAlignment="1">
      <alignment horizontal="left" vertical="center"/>
      <protection/>
    </xf>
    <xf numFmtId="0" fontId="27" fillId="33" borderId="36" xfId="89" applyFont="1" applyFill="1" applyBorder="1" applyAlignment="1">
      <alignment horizontal="left" vertical="center"/>
      <protection/>
    </xf>
    <xf numFmtId="0" fontId="27" fillId="33" borderId="57" xfId="89" applyFont="1" applyFill="1" applyBorder="1" applyAlignment="1">
      <alignment horizontal="left" vertical="center"/>
      <protection/>
    </xf>
    <xf numFmtId="0" fontId="11" fillId="0" borderId="27" xfId="89" applyFont="1" applyFill="1" applyBorder="1" applyAlignment="1">
      <alignment horizontal="left" vertical="center"/>
      <protection/>
    </xf>
    <xf numFmtId="0" fontId="11" fillId="0" borderId="62" xfId="89" applyFont="1" applyFill="1" applyBorder="1" applyAlignment="1">
      <alignment horizontal="left" vertical="center"/>
      <protection/>
    </xf>
    <xf numFmtId="0" fontId="11" fillId="0" borderId="33" xfId="89" applyFont="1" applyFill="1" applyBorder="1" applyAlignment="1">
      <alignment horizontal="left" vertical="center"/>
      <protection/>
    </xf>
    <xf numFmtId="0" fontId="11" fillId="0" borderId="54" xfId="89" applyFont="1" applyFill="1" applyBorder="1" applyAlignment="1">
      <alignment horizontal="left" vertical="center"/>
      <protection/>
    </xf>
    <xf numFmtId="0" fontId="27" fillId="33" borderId="65" xfId="89" applyFont="1" applyFill="1" applyBorder="1" applyAlignment="1">
      <alignment horizontal="left" vertical="center"/>
      <protection/>
    </xf>
    <xf numFmtId="0" fontId="27" fillId="33" borderId="66" xfId="89" applyFont="1" applyFill="1" applyBorder="1" applyAlignment="1">
      <alignment horizontal="left" vertical="center"/>
      <protection/>
    </xf>
    <xf numFmtId="0" fontId="12" fillId="33" borderId="33" xfId="89" applyFont="1" applyFill="1" applyBorder="1" applyAlignment="1">
      <alignment horizontal="left" vertical="center"/>
      <protection/>
    </xf>
    <xf numFmtId="0" fontId="12" fillId="33" borderId="54" xfId="89" applyFont="1" applyFill="1" applyBorder="1" applyAlignment="1">
      <alignment horizontal="left" vertical="center"/>
      <protection/>
    </xf>
    <xf numFmtId="10" fontId="26" fillId="0" borderId="30" xfId="89" applyNumberFormat="1" applyFont="1" applyFill="1" applyBorder="1" applyAlignment="1">
      <alignment horizontal="center" vertical="center" wrapText="1"/>
      <protection/>
    </xf>
    <xf numFmtId="10" fontId="26" fillId="0" borderId="13" xfId="89" applyNumberFormat="1" applyFont="1" applyFill="1" applyBorder="1" applyAlignment="1">
      <alignment horizontal="center" vertical="center" wrapText="1"/>
      <protection/>
    </xf>
    <xf numFmtId="10" fontId="26" fillId="0" borderId="163" xfId="89" applyNumberFormat="1" applyFont="1" applyFill="1" applyBorder="1" applyAlignment="1">
      <alignment horizontal="center" vertical="center" wrapText="1"/>
      <protection/>
    </xf>
    <xf numFmtId="49" fontId="26" fillId="0" borderId="42" xfId="89" applyNumberFormat="1" applyFont="1" applyFill="1" applyBorder="1" applyAlignment="1">
      <alignment horizontal="center" vertical="center" wrapText="1"/>
      <protection/>
    </xf>
    <xf numFmtId="49" fontId="26" fillId="0" borderId="45" xfId="89" applyNumberFormat="1" applyFont="1" applyFill="1" applyBorder="1" applyAlignment="1">
      <alignment horizontal="center" vertical="center" wrapText="1"/>
      <protection/>
    </xf>
    <xf numFmtId="49" fontId="26" fillId="0" borderId="10" xfId="89" applyNumberFormat="1" applyFont="1" applyFill="1" applyBorder="1" applyAlignment="1">
      <alignment horizontal="center" vertical="center" wrapText="1"/>
      <protection/>
    </xf>
    <xf numFmtId="1" fontId="10" fillId="0" borderId="36" xfId="89" applyNumberFormat="1" applyFont="1" applyFill="1" applyBorder="1" applyAlignment="1">
      <alignment horizontal="center" vertical="center"/>
      <protection/>
    </xf>
    <xf numFmtId="1" fontId="10" fillId="0" borderId="57" xfId="89" applyNumberFormat="1" applyFont="1" applyFill="1" applyBorder="1" applyAlignment="1">
      <alignment horizontal="center" vertical="center"/>
      <protection/>
    </xf>
    <xf numFmtId="0" fontId="11" fillId="33" borderId="27" xfId="89" applyFont="1" applyFill="1" applyBorder="1" applyAlignment="1">
      <alignment horizontal="left" vertical="center"/>
      <protection/>
    </xf>
    <xf numFmtId="0" fontId="11" fillId="33" borderId="62" xfId="89" applyFont="1" applyFill="1" applyBorder="1" applyAlignment="1">
      <alignment horizontal="left" vertical="center"/>
      <protection/>
    </xf>
    <xf numFmtId="0" fontId="11" fillId="33" borderId="33" xfId="89" applyFont="1" applyFill="1" applyBorder="1" applyAlignment="1">
      <alignment horizontal="left" vertical="center"/>
      <protection/>
    </xf>
    <xf numFmtId="0" fontId="11" fillId="33" borderId="54" xfId="89" applyFont="1" applyFill="1" applyBorder="1" applyAlignment="1">
      <alignment horizontal="left" vertical="center"/>
      <protection/>
    </xf>
    <xf numFmtId="10" fontId="26" fillId="0" borderId="31" xfId="89" applyNumberFormat="1" applyFont="1" applyFill="1" applyBorder="1" applyAlignment="1">
      <alignment horizontal="center" vertical="center" wrapText="1"/>
      <protection/>
    </xf>
    <xf numFmtId="10" fontId="26" fillId="0" borderId="14" xfId="89" applyNumberFormat="1" applyFont="1" applyFill="1" applyBorder="1" applyAlignment="1">
      <alignment horizontal="center" vertical="center" wrapText="1"/>
      <protection/>
    </xf>
    <xf numFmtId="10" fontId="26" fillId="0" borderId="46" xfId="89" applyNumberFormat="1" applyFont="1" applyFill="1" applyBorder="1" applyAlignment="1">
      <alignment horizontal="center" vertical="center" wrapText="1"/>
      <protection/>
    </xf>
    <xf numFmtId="10" fontId="26" fillId="0" borderId="27" xfId="89" applyNumberFormat="1" applyFont="1" applyFill="1" applyBorder="1" applyAlignment="1">
      <alignment horizontal="center" vertical="center" wrapText="1"/>
      <protection/>
    </xf>
    <xf numFmtId="10" fontId="26" fillId="0" borderId="33" xfId="89" applyNumberFormat="1" applyFont="1" applyFill="1" applyBorder="1" applyAlignment="1">
      <alignment horizontal="center" vertical="center" wrapText="1"/>
      <protection/>
    </xf>
    <xf numFmtId="10" fontId="26" fillId="0" borderId="47" xfId="89" applyNumberFormat="1" applyFont="1" applyFill="1" applyBorder="1" applyAlignment="1">
      <alignment horizontal="center" vertical="center" wrapText="1"/>
      <protection/>
    </xf>
    <xf numFmtId="49" fontId="10" fillId="0" borderId="31" xfId="89" applyNumberFormat="1" applyFont="1" applyFill="1" applyBorder="1" applyAlignment="1">
      <alignment horizontal="center" vertical="center" wrapText="1"/>
      <protection/>
    </xf>
    <xf numFmtId="49" fontId="10" fillId="0" borderId="14" xfId="89" applyNumberFormat="1" applyFont="1" applyFill="1" applyBorder="1" applyAlignment="1">
      <alignment horizontal="center" vertical="center" wrapText="1"/>
      <protection/>
    </xf>
    <xf numFmtId="49" fontId="10" fillId="0" borderId="46" xfId="89" applyNumberFormat="1" applyFont="1" applyFill="1" applyBorder="1" applyAlignment="1">
      <alignment horizontal="center" vertical="center" wrapText="1"/>
      <protection/>
    </xf>
    <xf numFmtId="0" fontId="10" fillId="33" borderId="15" xfId="89" applyFont="1" applyFill="1" applyBorder="1" applyAlignment="1">
      <alignment horizontal="left" vertical="center" wrapText="1"/>
      <protection/>
    </xf>
    <xf numFmtId="0" fontId="10" fillId="33" borderId="14" xfId="89" applyFont="1" applyFill="1" applyBorder="1" applyAlignment="1">
      <alignment horizontal="left" vertical="center" wrapText="1"/>
      <protection/>
    </xf>
    <xf numFmtId="0" fontId="11" fillId="33" borderId="0" xfId="89" applyFont="1" applyFill="1" applyBorder="1" applyAlignment="1">
      <alignment horizontal="center" vertical="center"/>
      <protection/>
    </xf>
    <xf numFmtId="0" fontId="10" fillId="33" borderId="52" xfId="89" applyFont="1" applyFill="1" applyBorder="1" applyAlignment="1">
      <alignment horizontal="left" vertical="center" wrapText="1"/>
      <protection/>
    </xf>
    <xf numFmtId="0" fontId="10" fillId="33" borderId="46" xfId="89" applyFont="1" applyFill="1" applyBorder="1" applyAlignment="1">
      <alignment horizontal="left" vertical="center" wrapText="1"/>
      <protection/>
    </xf>
    <xf numFmtId="0" fontId="25" fillId="33" borderId="0" xfId="89" applyFont="1" applyFill="1" applyBorder="1" applyAlignment="1">
      <alignment horizontal="left" vertical="center"/>
      <protection/>
    </xf>
    <xf numFmtId="0" fontId="10" fillId="0" borderId="159" xfId="89" applyFont="1" applyFill="1" applyBorder="1" applyAlignment="1">
      <alignment horizontal="center" vertical="center" textRotation="90" wrapText="1"/>
      <protection/>
    </xf>
    <xf numFmtId="0" fontId="10" fillId="0" borderId="26" xfId="89" applyFont="1" applyFill="1" applyBorder="1" applyAlignment="1">
      <alignment horizontal="center" vertical="center" textRotation="90" wrapText="1"/>
      <protection/>
    </xf>
    <xf numFmtId="0" fontId="10" fillId="0" borderId="39" xfId="89" applyFont="1" applyFill="1" applyBorder="1" applyAlignment="1">
      <alignment horizontal="center" vertical="center" textRotation="90" wrapText="1"/>
      <protection/>
    </xf>
    <xf numFmtId="0" fontId="10" fillId="0" borderId="16" xfId="89" applyFont="1" applyFill="1" applyBorder="1" applyAlignment="1">
      <alignment horizontal="center" vertical="center" textRotation="90" wrapText="1"/>
      <protection/>
    </xf>
    <xf numFmtId="0" fontId="10" fillId="0" borderId="130" xfId="89" applyFont="1" applyFill="1" applyBorder="1" applyAlignment="1">
      <alignment horizontal="center" vertical="center" wrapText="1"/>
      <protection/>
    </xf>
    <xf numFmtId="0" fontId="10" fillId="0" borderId="58" xfId="89" applyFont="1" applyFill="1" applyBorder="1" applyAlignment="1">
      <alignment horizontal="center" vertical="center" wrapText="1"/>
      <protection/>
    </xf>
    <xf numFmtId="0" fontId="10" fillId="0" borderId="166" xfId="89" applyFont="1" applyFill="1" applyBorder="1" applyAlignment="1">
      <alignment horizontal="center" vertical="center" wrapText="1"/>
      <protection/>
    </xf>
    <xf numFmtId="0" fontId="10" fillId="0" borderId="51" xfId="89" applyFont="1" applyFill="1" applyBorder="1" applyAlignment="1">
      <alignment horizontal="center" vertical="center" wrapText="1"/>
      <protection/>
    </xf>
    <xf numFmtId="0" fontId="10" fillId="0" borderId="0" xfId="89" applyFont="1" applyFill="1" applyBorder="1" applyAlignment="1">
      <alignment horizontal="center" vertical="center" wrapText="1"/>
      <protection/>
    </xf>
    <xf numFmtId="0" fontId="10" fillId="0" borderId="24" xfId="89" applyFont="1" applyFill="1" applyBorder="1" applyAlignment="1">
      <alignment horizontal="center" vertical="center" wrapText="1"/>
      <protection/>
    </xf>
    <xf numFmtId="0" fontId="10" fillId="0" borderId="152" xfId="89" applyFont="1" applyFill="1" applyBorder="1" applyAlignment="1">
      <alignment horizontal="center" vertical="center" wrapText="1"/>
      <protection/>
    </xf>
    <xf numFmtId="0" fontId="10" fillId="0" borderId="66" xfId="89" applyFont="1" applyFill="1" applyBorder="1" applyAlignment="1">
      <alignment horizontal="center" vertical="center" wrapText="1"/>
      <protection/>
    </xf>
    <xf numFmtId="0" fontId="10" fillId="0" borderId="155" xfId="89" applyFont="1" applyFill="1" applyBorder="1" applyAlignment="1">
      <alignment horizontal="center" vertical="center" wrapText="1"/>
      <protection/>
    </xf>
    <xf numFmtId="49" fontId="26" fillId="0" borderId="27" xfId="89" applyNumberFormat="1" applyFont="1" applyFill="1" applyBorder="1" applyAlignment="1">
      <alignment horizontal="center" vertical="center" wrapText="1"/>
      <protection/>
    </xf>
    <xf numFmtId="49" fontId="26" fillId="0" borderId="33" xfId="89" applyNumberFormat="1" applyFont="1" applyFill="1" applyBorder="1" applyAlignment="1">
      <alignment horizontal="center" vertical="center" wrapText="1"/>
      <protection/>
    </xf>
    <xf numFmtId="49" fontId="26" fillId="0" borderId="47" xfId="89" applyNumberFormat="1" applyFont="1" applyFill="1" applyBorder="1" applyAlignment="1">
      <alignment horizontal="center" vertical="center" wrapText="1"/>
      <protection/>
    </xf>
    <xf numFmtId="49" fontId="10" fillId="7" borderId="175" xfId="89" applyNumberFormat="1" applyFont="1" applyFill="1" applyBorder="1" applyAlignment="1">
      <alignment horizontal="center" vertical="center" wrapText="1"/>
      <protection/>
    </xf>
    <xf numFmtId="49" fontId="10" fillId="7" borderId="168" xfId="89" applyNumberFormat="1" applyFont="1" applyFill="1" applyBorder="1" applyAlignment="1">
      <alignment horizontal="center" vertical="center" wrapText="1"/>
      <protection/>
    </xf>
    <xf numFmtId="49" fontId="10" fillId="7" borderId="169" xfId="89" applyNumberFormat="1" applyFont="1" applyFill="1" applyBorder="1" applyAlignment="1">
      <alignment horizontal="center" vertical="center" wrapText="1"/>
      <protection/>
    </xf>
    <xf numFmtId="0" fontId="9" fillId="33" borderId="0" xfId="89" applyFont="1" applyFill="1" applyAlignment="1">
      <alignment horizontal="left" vertical="center" wrapText="1"/>
      <protection/>
    </xf>
    <xf numFmtId="0" fontId="12" fillId="33" borderId="49" xfId="89" applyFont="1" applyFill="1" applyBorder="1" applyAlignment="1">
      <alignment horizontal="center" vertical="center"/>
      <protection/>
    </xf>
    <xf numFmtId="0" fontId="12" fillId="33" borderId="35" xfId="89" applyFont="1" applyFill="1" applyBorder="1" applyAlignment="1">
      <alignment horizontal="center" vertical="center"/>
      <protection/>
    </xf>
    <xf numFmtId="0" fontId="12" fillId="33" borderId="159" xfId="89" applyFont="1" applyFill="1" applyBorder="1" applyAlignment="1">
      <alignment horizontal="center" vertical="center"/>
      <protection/>
    </xf>
    <xf numFmtId="0" fontId="12" fillId="33" borderId="38" xfId="89" applyFont="1" applyFill="1" applyBorder="1" applyAlignment="1">
      <alignment horizontal="center" vertical="center"/>
      <protection/>
    </xf>
    <xf numFmtId="0" fontId="10" fillId="33" borderId="134" xfId="89" applyFont="1" applyFill="1" applyBorder="1" applyAlignment="1">
      <alignment horizontal="left" vertical="center" wrapText="1"/>
      <protection/>
    </xf>
    <xf numFmtId="0" fontId="10" fillId="33" borderId="62" xfId="89" applyFont="1" applyFill="1" applyBorder="1" applyAlignment="1">
      <alignment horizontal="left" vertical="center" wrapText="1"/>
      <protection/>
    </xf>
    <xf numFmtId="0" fontId="10" fillId="33" borderId="30" xfId="89" applyFont="1" applyFill="1" applyBorder="1" applyAlignment="1">
      <alignment horizontal="left" vertical="center" wrapText="1"/>
      <protection/>
    </xf>
    <xf numFmtId="0" fontId="10" fillId="33" borderId="32" xfId="88" applyFont="1" applyFill="1" applyBorder="1" applyAlignment="1">
      <alignment horizontal="left" vertical="center" wrapText="1"/>
      <protection/>
    </xf>
    <xf numFmtId="0" fontId="10" fillId="33" borderId="31" xfId="88" applyFont="1" applyFill="1" applyBorder="1" applyAlignment="1">
      <alignment horizontal="left" vertical="center" wrapText="1"/>
      <protection/>
    </xf>
    <xf numFmtId="0" fontId="10" fillId="33" borderId="133" xfId="88" applyFont="1" applyFill="1" applyBorder="1" applyAlignment="1">
      <alignment horizontal="left" vertical="center" wrapText="1"/>
      <protection/>
    </xf>
    <xf numFmtId="0" fontId="10" fillId="33" borderId="54" xfId="88" applyFont="1" applyFill="1" applyBorder="1" applyAlignment="1">
      <alignment horizontal="left" vertical="center" wrapText="1"/>
      <protection/>
    </xf>
    <xf numFmtId="0" fontId="10" fillId="33" borderId="13" xfId="88" applyFont="1" applyFill="1" applyBorder="1" applyAlignment="1">
      <alignment horizontal="left" vertical="center" wrapText="1"/>
      <protection/>
    </xf>
    <xf numFmtId="0" fontId="10" fillId="33" borderId="52" xfId="88" applyFont="1" applyFill="1" applyBorder="1" applyAlignment="1">
      <alignment horizontal="left" vertical="center" wrapText="1"/>
      <protection/>
    </xf>
    <xf numFmtId="0" fontId="10" fillId="33" borderId="46" xfId="88" applyFont="1" applyFill="1" applyBorder="1" applyAlignment="1">
      <alignment horizontal="left" vertical="center" wrapText="1"/>
      <protection/>
    </xf>
    <xf numFmtId="0" fontId="96" fillId="0" borderId="132" xfId="0" applyFont="1" applyBorder="1" applyAlignment="1">
      <alignment horizontal="center" vertical="center" wrapText="1"/>
    </xf>
    <xf numFmtId="0" fontId="96" fillId="0" borderId="19" xfId="0" applyFont="1" applyBorder="1" applyAlignment="1">
      <alignment horizontal="center" vertical="center" wrapText="1"/>
    </xf>
    <xf numFmtId="0" fontId="34" fillId="0" borderId="61" xfId="0" applyFont="1" applyBorder="1" applyAlignment="1">
      <alignment horizontal="left" vertical="center"/>
    </xf>
    <xf numFmtId="0" fontId="34" fillId="0" borderId="57" xfId="0" applyFont="1" applyBorder="1" applyAlignment="1">
      <alignment horizontal="left" vertical="center"/>
    </xf>
    <xf numFmtId="0" fontId="34" fillId="0" borderId="135" xfId="0" applyFont="1" applyBorder="1" applyAlignment="1">
      <alignment horizontal="left" vertical="center"/>
    </xf>
    <xf numFmtId="0" fontId="0" fillId="0" borderId="0" xfId="0" applyFont="1" applyAlignment="1">
      <alignment horizontal="left" vertical="center" wrapText="1"/>
    </xf>
    <xf numFmtId="0" fontId="34" fillId="0" borderId="61" xfId="0" applyFont="1" applyBorder="1" applyAlignment="1">
      <alignment horizontal="center" vertical="center" wrapText="1"/>
    </xf>
    <xf numFmtId="0" fontId="34" fillId="0" borderId="67" xfId="0" applyFont="1" applyBorder="1" applyAlignment="1">
      <alignment horizontal="center" vertical="center" wrapText="1"/>
    </xf>
    <xf numFmtId="0" fontId="96" fillId="0" borderId="51" xfId="0" applyFont="1" applyBorder="1" applyAlignment="1">
      <alignment horizontal="center" vertical="center" wrapText="1"/>
    </xf>
    <xf numFmtId="0" fontId="96" fillId="0" borderId="24" xfId="0" applyFont="1" applyBorder="1" applyAlignment="1">
      <alignment horizontal="center" vertical="center" wrapText="1"/>
    </xf>
    <xf numFmtId="0" fontId="34" fillId="0" borderId="0" xfId="47" applyFont="1" applyAlignment="1">
      <alignment horizontal="left" vertical="center"/>
      <protection/>
    </xf>
    <xf numFmtId="176" fontId="37" fillId="0" borderId="0" xfId="47" applyNumberFormat="1" applyFont="1" applyAlignment="1">
      <alignment horizontal="left" vertical="center" wrapText="1"/>
      <protection/>
    </xf>
    <xf numFmtId="0" fontId="39" fillId="0" borderId="59" xfId="47" applyFont="1" applyBorder="1" applyAlignment="1">
      <alignment horizontal="center" vertical="center" wrapText="1"/>
      <protection/>
    </xf>
    <xf numFmtId="0" fontId="39" fillId="0" borderId="60" xfId="47" applyFont="1" applyBorder="1" applyAlignment="1">
      <alignment horizontal="center" vertical="center" wrapText="1"/>
      <protection/>
    </xf>
    <xf numFmtId="0" fontId="39" fillId="0" borderId="19" xfId="47" applyFont="1" applyBorder="1" applyAlignment="1">
      <alignment horizontal="center" vertical="center" wrapText="1"/>
      <protection/>
    </xf>
    <xf numFmtId="0" fontId="39" fillId="0" borderId="44" xfId="47" applyFont="1" applyBorder="1" applyAlignment="1">
      <alignment horizontal="center" vertical="center" wrapText="1"/>
      <protection/>
    </xf>
    <xf numFmtId="0" fontId="39" fillId="0" borderId="56" xfId="47" applyFont="1" applyBorder="1" applyAlignment="1">
      <alignment horizontal="center" vertical="center" wrapText="1"/>
      <protection/>
    </xf>
    <xf numFmtId="0" fontId="39" fillId="0" borderId="64" xfId="47" applyFont="1" applyBorder="1" applyAlignment="1">
      <alignment horizontal="center" vertical="center" wrapText="1"/>
      <protection/>
    </xf>
    <xf numFmtId="3" fontId="0" fillId="0" borderId="133" xfId="47" applyNumberFormat="1" applyFill="1" applyBorder="1" applyAlignment="1">
      <alignment horizontal="left" vertical="center" wrapText="1"/>
      <protection/>
    </xf>
    <xf numFmtId="3" fontId="0" fillId="0" borderId="54" xfId="47" applyNumberFormat="1" applyFill="1" applyBorder="1" applyAlignment="1">
      <alignment horizontal="left" vertical="center" wrapText="1"/>
      <protection/>
    </xf>
    <xf numFmtId="3" fontId="0" fillId="0" borderId="13" xfId="47" applyNumberFormat="1" applyFill="1" applyBorder="1" applyAlignment="1">
      <alignment horizontal="left" vertical="center" wrapText="1"/>
      <protection/>
    </xf>
    <xf numFmtId="0" fontId="0" fillId="0" borderId="133" xfId="47" applyFill="1" applyBorder="1" applyAlignment="1">
      <alignment horizontal="left" vertical="center"/>
      <protection/>
    </xf>
    <xf numFmtId="0" fontId="0" fillId="0" borderId="54" xfId="47" applyFill="1" applyBorder="1" applyAlignment="1">
      <alignment horizontal="left" vertical="center"/>
      <protection/>
    </xf>
    <xf numFmtId="0" fontId="0" fillId="0" borderId="13" xfId="47" applyFill="1" applyBorder="1" applyAlignment="1">
      <alignment horizontal="left" vertical="center"/>
      <protection/>
    </xf>
    <xf numFmtId="0" fontId="0" fillId="0" borderId="133" xfId="47" applyFill="1" applyBorder="1" applyAlignment="1">
      <alignment horizontal="left" vertical="center" wrapText="1"/>
      <protection/>
    </xf>
    <xf numFmtId="0" fontId="0" fillId="0" borderId="54" xfId="47" applyFill="1" applyBorder="1" applyAlignment="1">
      <alignment horizontal="left" vertical="center" wrapText="1"/>
      <protection/>
    </xf>
    <xf numFmtId="0" fontId="0" fillId="0" borderId="13" xfId="47" applyFill="1" applyBorder="1" applyAlignment="1">
      <alignment horizontal="left" vertical="center" wrapText="1"/>
      <protection/>
    </xf>
    <xf numFmtId="191" fontId="41" fillId="7" borderId="176" xfId="92" applyNumberFormat="1" applyFont="1" applyFill="1" applyBorder="1" applyAlignment="1" applyProtection="1">
      <alignment horizontal="center" vertical="center" wrapText="1"/>
      <protection/>
    </xf>
    <xf numFmtId="191" fontId="41" fillId="7" borderId="177" xfId="92" applyNumberFormat="1" applyFont="1" applyFill="1" applyBorder="1" applyAlignment="1" applyProtection="1">
      <alignment horizontal="center" vertical="center" wrapText="1"/>
      <protection/>
    </xf>
    <xf numFmtId="191" fontId="41" fillId="7" borderId="138" xfId="92" applyNumberFormat="1" applyFont="1" applyFill="1" applyBorder="1" applyAlignment="1" applyProtection="1">
      <alignment horizontal="center" vertical="center" wrapText="1"/>
      <protection/>
    </xf>
    <xf numFmtId="191" fontId="41" fillId="7" borderId="139" xfId="92" applyNumberFormat="1" applyFont="1" applyFill="1" applyBorder="1" applyAlignment="1" applyProtection="1">
      <alignment horizontal="center" vertical="center" wrapText="1"/>
      <protection/>
    </xf>
    <xf numFmtId="0" fontId="41" fillId="4" borderId="20" xfId="66" applyFont="1" applyFill="1" applyBorder="1" applyAlignment="1">
      <alignment horizontal="center" vertical="center" wrapText="1"/>
      <protection/>
    </xf>
    <xf numFmtId="0" fontId="41" fillId="4" borderId="68" xfId="66" applyFont="1" applyFill="1" applyBorder="1" applyAlignment="1">
      <alignment horizontal="center" vertical="center" wrapText="1"/>
      <protection/>
    </xf>
    <xf numFmtId="0" fontId="41" fillId="4" borderId="50" xfId="66" applyFont="1" applyFill="1" applyBorder="1" applyAlignment="1">
      <alignment horizontal="center" vertical="center" wrapText="1"/>
      <protection/>
    </xf>
    <xf numFmtId="0" fontId="41" fillId="4" borderId="158" xfId="66" applyFont="1" applyFill="1" applyBorder="1" applyAlignment="1">
      <alignment horizontal="center" vertical="center" wrapText="1"/>
      <protection/>
    </xf>
    <xf numFmtId="0" fontId="41" fillId="2" borderId="132" xfId="66" applyFont="1" applyFill="1" applyBorder="1" applyAlignment="1">
      <alignment horizontal="center" vertical="center" wrapText="1"/>
      <protection/>
    </xf>
    <xf numFmtId="0" fontId="41" fillId="2" borderId="19" xfId="66" applyFont="1" applyFill="1" applyBorder="1" applyAlignment="1">
      <alignment horizontal="center" vertical="center" wrapText="1"/>
      <protection/>
    </xf>
    <xf numFmtId="0" fontId="41" fillId="2" borderId="152" xfId="66" applyFont="1" applyFill="1" applyBorder="1" applyAlignment="1">
      <alignment horizontal="center" vertical="center" wrapText="1"/>
      <protection/>
    </xf>
    <xf numFmtId="0" fontId="41" fillId="2" borderId="155" xfId="66" applyFont="1" applyFill="1" applyBorder="1" applyAlignment="1">
      <alignment horizontal="center" vertical="center" wrapText="1"/>
      <protection/>
    </xf>
    <xf numFmtId="191" fontId="41" fillId="2" borderId="59" xfId="92" applyNumberFormat="1" applyFont="1" applyFill="1" applyBorder="1" applyAlignment="1" applyProtection="1">
      <alignment horizontal="center" vertical="center" wrapText="1"/>
      <protection/>
    </xf>
    <xf numFmtId="191" fontId="41" fillId="2" borderId="177" xfId="92" applyNumberFormat="1" applyFont="1" applyFill="1" applyBorder="1" applyAlignment="1" applyProtection="1">
      <alignment horizontal="center" vertical="center" wrapText="1"/>
      <protection/>
    </xf>
    <xf numFmtId="191" fontId="41" fillId="2" borderId="65" xfId="92" applyNumberFormat="1" applyFont="1" applyFill="1" applyBorder="1" applyAlignment="1" applyProtection="1">
      <alignment horizontal="center" vertical="center" wrapText="1"/>
      <protection/>
    </xf>
    <xf numFmtId="191" fontId="41" fillId="2" borderId="139" xfId="92" applyNumberFormat="1" applyFont="1" applyFill="1" applyBorder="1" applyAlignment="1" applyProtection="1">
      <alignment horizontal="center" vertical="center" wrapText="1"/>
      <protection/>
    </xf>
    <xf numFmtId="191" fontId="41" fillId="7" borderId="132" xfId="92" applyNumberFormat="1" applyFont="1" applyFill="1" applyBorder="1" applyAlignment="1" applyProtection="1">
      <alignment horizontal="center" vertical="center" wrapText="1"/>
      <protection/>
    </xf>
    <xf numFmtId="191" fontId="41" fillId="7" borderId="19" xfId="92" applyNumberFormat="1" applyFont="1" applyFill="1" applyBorder="1" applyAlignment="1" applyProtection="1">
      <alignment horizontal="center" vertical="center" wrapText="1"/>
      <protection/>
    </xf>
    <xf numFmtId="191" fontId="41" fillId="7" borderId="152" xfId="92" applyNumberFormat="1" applyFont="1" applyFill="1" applyBorder="1" applyAlignment="1" applyProtection="1">
      <alignment horizontal="center" vertical="center" wrapText="1"/>
      <protection/>
    </xf>
    <xf numFmtId="191" fontId="41" fillId="7" borderId="155" xfId="92" applyNumberFormat="1" applyFont="1" applyFill="1" applyBorder="1" applyAlignment="1" applyProtection="1">
      <alignment horizontal="center" vertical="center" wrapText="1"/>
      <protection/>
    </xf>
    <xf numFmtId="0" fontId="41" fillId="0" borderId="130" xfId="66" applyNumberFormat="1" applyFont="1" applyFill="1" applyBorder="1" applyAlignment="1" applyProtection="1">
      <alignment horizontal="center" vertical="center" wrapText="1"/>
      <protection/>
    </xf>
    <xf numFmtId="0" fontId="41" fillId="0" borderId="58" xfId="66" applyNumberFormat="1" applyFont="1" applyFill="1" applyBorder="1" applyAlignment="1" applyProtection="1">
      <alignment horizontal="center" vertical="center" wrapText="1"/>
      <protection/>
    </xf>
    <xf numFmtId="0" fontId="41" fillId="0" borderId="51" xfId="66" applyNumberFormat="1" applyFont="1" applyFill="1" applyBorder="1" applyAlignment="1" applyProtection="1">
      <alignment horizontal="center" vertical="center" wrapText="1"/>
      <protection/>
    </xf>
    <xf numFmtId="0" fontId="41" fillId="0" borderId="0" xfId="66" applyNumberFormat="1" applyFont="1" applyFill="1" applyBorder="1" applyAlignment="1" applyProtection="1">
      <alignment horizontal="center" vertical="center" wrapText="1"/>
      <protection/>
    </xf>
    <xf numFmtId="0" fontId="41" fillId="0" borderId="152" xfId="66" applyNumberFormat="1" applyFont="1" applyFill="1" applyBorder="1" applyAlignment="1" applyProtection="1">
      <alignment horizontal="center" vertical="center" wrapText="1"/>
      <protection/>
    </xf>
    <xf numFmtId="0" fontId="41" fillId="0" borderId="66" xfId="66" applyNumberFormat="1" applyFont="1" applyFill="1" applyBorder="1" applyAlignment="1" applyProtection="1">
      <alignment horizontal="center" vertical="center" wrapText="1"/>
      <protection/>
    </xf>
    <xf numFmtId="191" fontId="42" fillId="4" borderId="134" xfId="92" applyNumberFormat="1" applyFont="1" applyFill="1" applyBorder="1" applyAlignment="1" applyProtection="1">
      <alignment horizontal="center" vertical="center"/>
      <protection/>
    </xf>
    <xf numFmtId="191" fontId="42" fillId="4" borderId="62" xfId="92" applyNumberFormat="1" applyFont="1" applyFill="1" applyBorder="1" applyAlignment="1" applyProtection="1">
      <alignment horizontal="center" vertical="center"/>
      <protection/>
    </xf>
    <xf numFmtId="191" fontId="42" fillId="4" borderId="142" xfId="92" applyNumberFormat="1" applyFont="1" applyFill="1" applyBorder="1" applyAlignment="1" applyProtection="1">
      <alignment horizontal="center" vertical="center"/>
      <protection/>
    </xf>
    <xf numFmtId="191" fontId="41" fillId="2" borderId="134" xfId="92" applyNumberFormat="1" applyFont="1" applyFill="1" applyBorder="1" applyAlignment="1" applyProtection="1">
      <alignment horizontal="center" vertical="center" wrapText="1"/>
      <protection/>
    </xf>
    <xf numFmtId="191" fontId="41" fillId="2" borderId="62" xfId="92" applyNumberFormat="1" applyFont="1" applyFill="1" applyBorder="1" applyAlignment="1" applyProtection="1">
      <alignment horizontal="center" vertical="center" wrapText="1"/>
      <protection/>
    </xf>
    <xf numFmtId="191" fontId="41" fillId="2" borderId="142" xfId="92" applyNumberFormat="1" applyFont="1" applyFill="1" applyBorder="1" applyAlignment="1" applyProtection="1">
      <alignment horizontal="center" vertical="center" wrapText="1"/>
      <protection/>
    </xf>
    <xf numFmtId="0" fontId="42" fillId="7" borderId="32" xfId="66" applyFont="1" applyFill="1" applyBorder="1" applyAlignment="1">
      <alignment horizontal="center" vertical="center"/>
      <protection/>
    </xf>
    <xf numFmtId="0" fontId="42" fillId="7" borderId="31" xfId="66" applyFont="1" applyFill="1" applyBorder="1" applyAlignment="1">
      <alignment horizontal="center" vertical="center"/>
      <protection/>
    </xf>
    <xf numFmtId="0" fontId="42" fillId="7" borderId="42" xfId="66" applyFont="1" applyFill="1" applyBorder="1" applyAlignment="1">
      <alignment horizontal="center" vertical="center"/>
      <protection/>
    </xf>
    <xf numFmtId="0" fontId="41" fillId="3" borderId="146" xfId="66" applyFont="1" applyFill="1" applyBorder="1" applyAlignment="1">
      <alignment horizontal="center" vertical="center" wrapText="1"/>
      <protection/>
    </xf>
    <xf numFmtId="0" fontId="41" fillId="3" borderId="178" xfId="66" applyFont="1" applyFill="1" applyBorder="1" applyAlignment="1">
      <alignment horizontal="center" vertical="center" wrapText="1"/>
      <protection/>
    </xf>
    <xf numFmtId="0" fontId="41" fillId="3" borderId="179" xfId="66" applyFont="1" applyFill="1" applyBorder="1" applyAlignment="1">
      <alignment horizontal="center" vertical="center" wrapText="1"/>
      <protection/>
    </xf>
    <xf numFmtId="0" fontId="41" fillId="3" borderId="142" xfId="66" applyFont="1" applyFill="1" applyBorder="1" applyAlignment="1">
      <alignment horizontal="center" vertical="center" wrapText="1"/>
      <protection/>
    </xf>
    <xf numFmtId="0" fontId="41" fillId="3" borderId="11" xfId="66" applyFont="1" applyFill="1" applyBorder="1" applyAlignment="1">
      <alignment horizontal="center" vertical="center" wrapText="1"/>
      <protection/>
    </xf>
    <xf numFmtId="0" fontId="41" fillId="3" borderId="48" xfId="66" applyFont="1" applyFill="1" applyBorder="1" applyAlignment="1">
      <alignment horizontal="center" vertical="center" wrapText="1"/>
      <protection/>
    </xf>
    <xf numFmtId="0" fontId="41" fillId="4" borderId="132" xfId="66" applyFont="1" applyFill="1" applyBorder="1" applyAlignment="1">
      <alignment horizontal="center" vertical="center" wrapText="1"/>
      <protection/>
    </xf>
    <xf numFmtId="0" fontId="41" fillId="4" borderId="19" xfId="66" applyFont="1" applyFill="1" applyBorder="1" applyAlignment="1">
      <alignment horizontal="center" vertical="center" wrapText="1"/>
      <protection/>
    </xf>
    <xf numFmtId="0" fontId="41" fillId="4" borderId="152" xfId="66" applyFont="1" applyFill="1" applyBorder="1" applyAlignment="1">
      <alignment horizontal="center" vertical="center" wrapText="1"/>
      <protection/>
    </xf>
    <xf numFmtId="0" fontId="41" fillId="4" borderId="155" xfId="66" applyFont="1" applyFill="1" applyBorder="1" applyAlignment="1">
      <alignment horizontal="center" vertical="center" wrapText="1"/>
      <protection/>
    </xf>
    <xf numFmtId="0" fontId="41" fillId="4" borderId="59" xfId="66" applyFont="1" applyFill="1" applyBorder="1" applyAlignment="1">
      <alignment horizontal="center" vertical="center" wrapText="1"/>
      <protection/>
    </xf>
    <xf numFmtId="0" fontId="41" fillId="4" borderId="65" xfId="66" applyFont="1" applyFill="1" applyBorder="1" applyAlignment="1">
      <alignment horizontal="center" vertical="center" wrapText="1"/>
      <protection/>
    </xf>
    <xf numFmtId="0" fontId="0" fillId="0" borderId="61" xfId="86" applyFont="1" applyBorder="1" applyAlignment="1">
      <alignment horizontal="center" vertical="center" wrapText="1"/>
      <protection/>
    </xf>
    <xf numFmtId="0" fontId="0" fillId="0" borderId="57" xfId="86" applyFont="1" applyBorder="1" applyAlignment="1">
      <alignment horizontal="center" vertical="center" wrapText="1"/>
      <protection/>
    </xf>
    <xf numFmtId="0" fontId="0" fillId="0" borderId="135" xfId="86" applyFont="1" applyBorder="1" applyAlignment="1">
      <alignment horizontal="center" vertical="center" wrapText="1"/>
      <protection/>
    </xf>
    <xf numFmtId="0" fontId="96" fillId="0" borderId="134" xfId="86" applyFont="1" applyBorder="1" applyAlignment="1">
      <alignment vertical="center" wrapText="1"/>
      <protection/>
    </xf>
    <xf numFmtId="0" fontId="96" fillId="0" borderId="62" xfId="86" applyFont="1" applyBorder="1" applyAlignment="1">
      <alignment vertical="center" wrapText="1"/>
      <protection/>
    </xf>
    <xf numFmtId="0" fontId="96" fillId="0" borderId="142" xfId="86" applyFont="1" applyBorder="1" applyAlignment="1">
      <alignment vertical="center" wrapText="1"/>
      <protection/>
    </xf>
    <xf numFmtId="0" fontId="96" fillId="0" borderId="180" xfId="86" applyFont="1" applyBorder="1" applyAlignment="1">
      <alignment vertical="center"/>
      <protection/>
    </xf>
    <xf numFmtId="0" fontId="0" fillId="0" borderId="157" xfId="86" applyFont="1" applyBorder="1" applyAlignment="1">
      <alignment vertical="center"/>
      <protection/>
    </xf>
    <xf numFmtId="0" fontId="0" fillId="0" borderId="48" xfId="86" applyFont="1" applyBorder="1" applyAlignment="1">
      <alignment vertical="center"/>
      <protection/>
    </xf>
    <xf numFmtId="0" fontId="0" fillId="0" borderId="134" xfId="86" applyFont="1" applyBorder="1" applyAlignment="1">
      <alignment horizontal="left" vertical="center" wrapText="1"/>
      <protection/>
    </xf>
    <xf numFmtId="0" fontId="0" fillId="0" borderId="62" xfId="86" applyFont="1" applyBorder="1" applyAlignment="1">
      <alignment horizontal="left" vertical="center" wrapText="1"/>
      <protection/>
    </xf>
    <xf numFmtId="0" fontId="0" fillId="0" borderId="142" xfId="86" applyFont="1" applyBorder="1" applyAlignment="1">
      <alignment horizontal="left" vertical="center" wrapText="1"/>
      <protection/>
    </xf>
    <xf numFmtId="0" fontId="0" fillId="0" borderId="152" xfId="86" applyFont="1" applyBorder="1" applyAlignment="1">
      <alignment vertical="center" wrapText="1"/>
      <protection/>
    </xf>
    <xf numFmtId="0" fontId="0" fillId="0" borderId="66" xfId="86" applyFont="1" applyBorder="1" applyAlignment="1">
      <alignment vertical="center" wrapText="1"/>
      <protection/>
    </xf>
    <xf numFmtId="0" fontId="0" fillId="0" borderId="139" xfId="86" applyFont="1" applyBorder="1" applyAlignment="1">
      <alignment vertical="center" wrapText="1"/>
      <protection/>
    </xf>
    <xf numFmtId="0" fontId="18" fillId="0" borderId="0" xfId="86" applyFont="1" applyAlignment="1">
      <alignment horizontal="left" vertical="center" wrapText="1"/>
      <protection/>
    </xf>
    <xf numFmtId="3" fontId="0" fillId="0" borderId="0" xfId="47" applyNumberFormat="1" applyFont="1" applyAlignment="1">
      <alignment horizontal="left" vertical="center" wrapText="1"/>
      <protection/>
    </xf>
    <xf numFmtId="3" fontId="5" fillId="0" borderId="38" xfId="47" applyNumberFormat="1" applyFont="1" applyBorder="1" applyAlignment="1">
      <alignment horizontal="center" vertical="center" wrapText="1"/>
      <protection/>
    </xf>
    <xf numFmtId="3" fontId="5" fillId="0" borderId="50" xfId="47" applyNumberFormat="1" applyFont="1" applyBorder="1" applyAlignment="1">
      <alignment horizontal="center" vertical="center" wrapText="1"/>
      <protection/>
    </xf>
    <xf numFmtId="4" fontId="5" fillId="0" borderId="38" xfId="47" applyNumberFormat="1" applyFont="1" applyBorder="1" applyAlignment="1">
      <alignment horizontal="center" vertical="center" wrapText="1"/>
      <protection/>
    </xf>
    <xf numFmtId="4" fontId="5" fillId="0" borderId="50" xfId="47" applyNumberFormat="1" applyFont="1" applyBorder="1" applyAlignment="1">
      <alignment horizontal="center" vertical="center" wrapText="1"/>
      <protection/>
    </xf>
    <xf numFmtId="0" fontId="5" fillId="0" borderId="38" xfId="47" applyFont="1" applyBorder="1" applyAlignment="1">
      <alignment horizontal="center" vertical="center" wrapText="1"/>
      <protection/>
    </xf>
    <xf numFmtId="0" fontId="5" fillId="0" borderId="50" xfId="47" applyFont="1" applyBorder="1" applyAlignment="1">
      <alignment horizontal="center" vertical="center" wrapText="1"/>
      <protection/>
    </xf>
    <xf numFmtId="0" fontId="5" fillId="0" borderId="39" xfId="47" applyFont="1" applyBorder="1" applyAlignment="1">
      <alignment horizontal="center" vertical="center" wrapText="1"/>
      <protection/>
    </xf>
    <xf numFmtId="0" fontId="5" fillId="0" borderId="65" xfId="47" applyFont="1" applyBorder="1" applyAlignment="1">
      <alignment horizontal="center" vertical="center" wrapText="1"/>
      <protection/>
    </xf>
    <xf numFmtId="3" fontId="5" fillId="0" borderId="160" xfId="47" applyNumberFormat="1" applyFont="1" applyFill="1" applyBorder="1" applyAlignment="1">
      <alignment horizontal="center" vertical="center" wrapText="1"/>
      <protection/>
    </xf>
    <xf numFmtId="3" fontId="5" fillId="0" borderId="162" xfId="47" applyNumberFormat="1" applyFont="1" applyFill="1" applyBorder="1" applyAlignment="1">
      <alignment horizontal="center" vertical="center" wrapText="1"/>
      <protection/>
    </xf>
    <xf numFmtId="0" fontId="19" fillId="0" borderId="0" xfId="47" applyFont="1" applyAlignment="1">
      <alignment vertical="center"/>
      <protection/>
    </xf>
    <xf numFmtId="0" fontId="0" fillId="0" borderId="0" xfId="47" applyFont="1" applyAlignment="1">
      <alignment horizontal="left" vertical="center" wrapText="1"/>
      <protection/>
    </xf>
    <xf numFmtId="0" fontId="44" fillId="0" borderId="159" xfId="47" applyFont="1" applyBorder="1" applyAlignment="1">
      <alignment horizontal="center" vertical="center" wrapText="1"/>
      <protection/>
    </xf>
    <xf numFmtId="0" fontId="44" fillId="0" borderId="26" xfId="47" applyFont="1" applyBorder="1" applyAlignment="1">
      <alignment horizontal="center" vertical="center" wrapText="1"/>
      <protection/>
    </xf>
    <xf numFmtId="0" fontId="44" fillId="0" borderId="53" xfId="47" applyFont="1" applyBorder="1" applyAlignment="1">
      <alignment horizontal="center" vertical="center" wrapText="1"/>
      <protection/>
    </xf>
    <xf numFmtId="0" fontId="10" fillId="0" borderId="57" xfId="47" applyFont="1" applyBorder="1" applyAlignment="1">
      <alignment horizontal="center" vertical="center"/>
      <protection/>
    </xf>
    <xf numFmtId="0" fontId="10" fillId="0" borderId="58" xfId="47" applyFont="1" applyBorder="1" applyAlignment="1">
      <alignment horizontal="center" vertical="center"/>
      <protection/>
    </xf>
    <xf numFmtId="0" fontId="10" fillId="0" borderId="135" xfId="47" applyFont="1" applyBorder="1" applyAlignment="1">
      <alignment horizontal="center" vertical="center"/>
      <protection/>
    </xf>
    <xf numFmtId="3" fontId="48" fillId="0" borderId="166" xfId="47" applyNumberFormat="1" applyFont="1" applyBorder="1" applyAlignment="1">
      <alignment horizontal="center" vertical="center" wrapText="1"/>
      <protection/>
    </xf>
    <xf numFmtId="3" fontId="44" fillId="0" borderId="155" xfId="47" applyNumberFormat="1" applyFont="1" applyBorder="1" applyAlignment="1">
      <alignment horizontal="center" vertical="center" wrapText="1"/>
      <protection/>
    </xf>
    <xf numFmtId="0" fontId="44" fillId="0" borderId="43" xfId="47" applyFont="1" applyBorder="1" applyAlignment="1">
      <alignment horizontal="center" vertical="center" wrapText="1"/>
      <protection/>
    </xf>
    <xf numFmtId="0" fontId="44" fillId="0" borderId="20" xfId="47" applyFont="1" applyBorder="1" applyAlignment="1">
      <alignment horizontal="center" vertical="center" wrapText="1"/>
      <protection/>
    </xf>
    <xf numFmtId="3" fontId="44" fillId="0" borderId="44" xfId="47" applyNumberFormat="1" applyFont="1" applyBorder="1" applyAlignment="1">
      <alignment horizontal="center" vertical="center" wrapText="1"/>
      <protection/>
    </xf>
    <xf numFmtId="3" fontId="44" fillId="0" borderId="59" xfId="47" applyNumberFormat="1" applyFont="1" applyBorder="1" applyAlignment="1">
      <alignment horizontal="center" vertical="center" wrapText="1"/>
      <protection/>
    </xf>
    <xf numFmtId="3" fontId="44" fillId="0" borderId="29" xfId="47" applyNumberFormat="1" applyFont="1" applyFill="1" applyBorder="1" applyAlignment="1">
      <alignment horizontal="center" vertical="center" wrapText="1"/>
      <protection/>
    </xf>
    <xf numFmtId="3" fontId="44" fillId="0" borderId="18" xfId="47" applyNumberFormat="1" applyFont="1" applyFill="1" applyBorder="1" applyAlignment="1">
      <alignment horizontal="center" vertical="center" wrapText="1"/>
      <protection/>
    </xf>
    <xf numFmtId="3" fontId="44" fillId="0" borderId="64" xfId="47" applyNumberFormat="1" applyFont="1" applyFill="1" applyBorder="1" applyAlignment="1">
      <alignment horizontal="center" vertical="center" wrapText="1"/>
      <protection/>
    </xf>
    <xf numFmtId="3" fontId="44" fillId="0" borderId="19" xfId="47" applyNumberFormat="1" applyFont="1" applyFill="1" applyBorder="1" applyAlignment="1">
      <alignment horizontal="center" vertical="center" wrapText="1"/>
      <protection/>
    </xf>
    <xf numFmtId="3" fontId="44" fillId="0" borderId="41" xfId="47" applyNumberFormat="1" applyFont="1" applyFill="1" applyBorder="1" applyAlignment="1">
      <alignment horizontal="center" vertical="center" wrapText="1"/>
      <protection/>
    </xf>
    <xf numFmtId="3" fontId="44" fillId="0" borderId="68" xfId="47" applyNumberFormat="1" applyFont="1" applyFill="1" applyBorder="1" applyAlignment="1">
      <alignment horizontal="center" vertical="center" wrapText="1"/>
      <protection/>
    </xf>
    <xf numFmtId="0" fontId="18" fillId="0" borderId="0" xfId="87" applyFont="1" applyAlignment="1">
      <alignment horizontal="left" vertical="center" wrapText="1"/>
      <protection/>
    </xf>
    <xf numFmtId="0" fontId="47" fillId="0" borderId="0" xfId="87" applyFont="1" applyAlignment="1">
      <alignment horizontal="left" vertical="center" wrapText="1"/>
      <protection/>
    </xf>
    <xf numFmtId="0" fontId="44" fillId="0" borderId="29" xfId="47" applyFont="1" applyBorder="1" applyAlignment="1">
      <alignment horizontal="center" vertical="center" wrapText="1"/>
      <protection/>
    </xf>
    <xf numFmtId="0" fontId="44" fillId="0" borderId="12" xfId="47" applyFont="1" applyBorder="1" applyAlignment="1">
      <alignment horizontal="center" vertical="center" wrapText="1"/>
      <protection/>
    </xf>
    <xf numFmtId="0" fontId="44" fillId="0" borderId="18" xfId="47" applyFont="1" applyBorder="1" applyAlignment="1">
      <alignment horizontal="center" vertical="center" wrapText="1"/>
      <protection/>
    </xf>
    <xf numFmtId="0" fontId="10" fillId="0" borderId="49" xfId="47" applyFont="1" applyBorder="1" applyAlignment="1">
      <alignment horizontal="center" vertical="center"/>
      <protection/>
    </xf>
    <xf numFmtId="0" fontId="10" fillId="0" borderId="35" xfId="47" applyFont="1" applyBorder="1" applyAlignment="1">
      <alignment horizontal="center" vertical="center"/>
      <protection/>
    </xf>
    <xf numFmtId="0" fontId="10" fillId="0" borderId="37" xfId="47" applyFont="1" applyBorder="1" applyAlignment="1">
      <alignment horizontal="center" vertical="center"/>
      <protection/>
    </xf>
    <xf numFmtId="3" fontId="44" fillId="0" borderId="64" xfId="47" applyNumberFormat="1" applyFont="1" applyBorder="1" applyAlignment="1">
      <alignment horizontal="center" vertical="center" wrapText="1"/>
      <protection/>
    </xf>
    <xf numFmtId="3" fontId="44" fillId="0" borderId="19" xfId="47" applyNumberFormat="1" applyFont="1" applyBorder="1" applyAlignment="1">
      <alignment horizontal="center" vertical="center" wrapText="1"/>
      <protection/>
    </xf>
    <xf numFmtId="3" fontId="44" fillId="0" borderId="43" xfId="47" applyNumberFormat="1" applyFont="1" applyBorder="1" applyAlignment="1">
      <alignment horizontal="center" vertical="center" wrapText="1"/>
      <protection/>
    </xf>
    <xf numFmtId="3" fontId="44" fillId="0" borderId="20" xfId="47" applyNumberFormat="1" applyFont="1" applyBorder="1" applyAlignment="1">
      <alignment horizontal="center" vertical="center" wrapText="1"/>
      <protection/>
    </xf>
  </cellXfs>
  <cellStyles count="9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10" xfId="47"/>
    <cellStyle name="Normální 11" xfId="48"/>
    <cellStyle name="normální 12" xfId="49"/>
    <cellStyle name="Normální 13" xfId="50"/>
    <cellStyle name="normální 14" xfId="51"/>
    <cellStyle name="normální 14 2" xfId="52"/>
    <cellStyle name="normální 15" xfId="53"/>
    <cellStyle name="normální 15 2" xfId="54"/>
    <cellStyle name="Normální 16" xfId="55"/>
    <cellStyle name="normální 2" xfId="56"/>
    <cellStyle name="normální 2 2" xfId="57"/>
    <cellStyle name="normální 2 3" xfId="58"/>
    <cellStyle name="normální 2 3 2" xfId="59"/>
    <cellStyle name="normální 2 3 2 2" xfId="60"/>
    <cellStyle name="normální 2 3 2_PV III. Rozpis rozpočtu VŠ 2011_final_PV" xfId="61"/>
    <cellStyle name="normální 2 3_PV III. Rozpis rozpočtu VŠ 2011_final_PV" xfId="62"/>
    <cellStyle name="normální 2 4" xfId="63"/>
    <cellStyle name="normální 2 4 2" xfId="64"/>
    <cellStyle name="normální 2 4_PV III. Rozpis rozpočtu VŠ 2011_final_PV" xfId="65"/>
    <cellStyle name="normální 2 5" xfId="66"/>
    <cellStyle name="normální 2_PV III. Rozpis rozpočtu VŠ 2011_final_PV" xfId="67"/>
    <cellStyle name="normální 3" xfId="68"/>
    <cellStyle name="normální 3 2" xfId="69"/>
    <cellStyle name="normální 3_PV III. Rozpis rozpočtu VŠ 2011_final_PV" xfId="70"/>
    <cellStyle name="normální 4" xfId="71"/>
    <cellStyle name="normální 4 2" xfId="72"/>
    <cellStyle name="normální 4_PV Rozpis rozpočtu VŠ 2011 III - tabulkové přílohy" xfId="73"/>
    <cellStyle name="Normální 5" xfId="74"/>
    <cellStyle name="normální 5 2" xfId="75"/>
    <cellStyle name="Normální 6" xfId="76"/>
    <cellStyle name="Normální 6 2" xfId="77"/>
    <cellStyle name="normální 6 3" xfId="78"/>
    <cellStyle name="Normální 6 4" xfId="79"/>
    <cellStyle name="Normální 6 4 3" xfId="80"/>
    <cellStyle name="normální 7" xfId="81"/>
    <cellStyle name="Normální 8" xfId="82"/>
    <cellStyle name="Normální 8 2" xfId="83"/>
    <cellStyle name="Normální 9" xfId="84"/>
    <cellStyle name="normální_MF-03-příloha 4 - SR 2009(19  8  2008)" xfId="85"/>
    <cellStyle name="normální_Počty financovaných studentů 1998-2006" xfId="86"/>
    <cellStyle name="normální_Přehled poskyt. prostředků VŠ-rozpočet 2000-2006" xfId="87"/>
    <cellStyle name="normální_Tab.1-bilance PV" xfId="88"/>
    <cellStyle name="normální_Tabulka 1-Bilanční-návrh 13.1.04" xfId="89"/>
    <cellStyle name="Poznámka" xfId="90"/>
    <cellStyle name="Percent" xfId="91"/>
    <cellStyle name="procent 2" xfId="92"/>
    <cellStyle name="procent 3" xfId="93"/>
    <cellStyle name="procent 4" xfId="94"/>
    <cellStyle name="procent 5" xfId="95"/>
    <cellStyle name="Procenta 2" xfId="96"/>
    <cellStyle name="Procenta 2 2" xfId="97"/>
    <cellStyle name="Procenta 3" xfId="98"/>
    <cellStyle name="Propojená buňka" xfId="99"/>
    <cellStyle name="Followed Hyperlink" xfId="100"/>
    <cellStyle name="Správně" xfId="101"/>
    <cellStyle name="Text upozornění" xfId="102"/>
    <cellStyle name="Vstup" xfId="103"/>
    <cellStyle name="Výpočet" xfId="104"/>
    <cellStyle name="Výstup" xfId="105"/>
    <cellStyle name="Vysvětlující text" xfId="106"/>
    <cellStyle name="Zvýraznění 1" xfId="107"/>
    <cellStyle name="Zvýraznění 2" xfId="108"/>
    <cellStyle name="Zvýraznění 3" xfId="109"/>
    <cellStyle name="Zvýraznění 4" xfId="110"/>
    <cellStyle name="Zvýraznění 5" xfId="111"/>
    <cellStyle name="Zvýraznění 6"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Picture 2"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7</xdr:col>
      <xdr:colOff>0</xdr:colOff>
      <xdr:row>0</xdr:row>
      <xdr:rowOff>0</xdr:rowOff>
    </xdr:from>
    <xdr:to>
      <xdr:col>7</xdr:col>
      <xdr:colOff>9525</xdr:colOff>
      <xdr:row>0</xdr:row>
      <xdr:rowOff>9525</xdr:rowOff>
    </xdr:to>
    <xdr:pic>
      <xdr:nvPicPr>
        <xdr:cNvPr id="3" name="Picture 3" descr="https://sims.ics.muni.cz/sims_is/img/bod.gif"/>
        <xdr:cNvPicPr preferRelativeResize="1">
          <a:picLocks noChangeAspect="1"/>
        </xdr:cNvPicPr>
      </xdr:nvPicPr>
      <xdr:blipFill>
        <a:blip r:embed="rId1"/>
        <a:stretch>
          <a:fillRect/>
        </a:stretch>
      </xdr:blipFill>
      <xdr:spPr>
        <a:xfrm>
          <a:off x="5867400" y="0"/>
          <a:ext cx="9525" cy="9525"/>
        </a:xfrm>
        <a:prstGeom prst="rect">
          <a:avLst/>
        </a:prstGeom>
        <a:noFill/>
        <a:ln w="9525" cmpd="sng">
          <a:noFill/>
        </a:ln>
      </xdr:spPr>
    </xdr:pic>
    <xdr:clientData/>
  </xdr:twoCellAnchor>
  <xdr:twoCellAnchor editAs="oneCell">
    <xdr:from>
      <xdr:col>7</xdr:col>
      <xdr:colOff>0</xdr:colOff>
      <xdr:row>0</xdr:row>
      <xdr:rowOff>0</xdr:rowOff>
    </xdr:from>
    <xdr:to>
      <xdr:col>7</xdr:col>
      <xdr:colOff>9525</xdr:colOff>
      <xdr:row>0</xdr:row>
      <xdr:rowOff>9525</xdr:rowOff>
    </xdr:to>
    <xdr:pic>
      <xdr:nvPicPr>
        <xdr:cNvPr id="4" name="Picture 4" descr="https://sims.ics.muni.cz/sims_is/img/bod.gif"/>
        <xdr:cNvPicPr preferRelativeResize="1">
          <a:picLocks noChangeAspect="1"/>
        </xdr:cNvPicPr>
      </xdr:nvPicPr>
      <xdr:blipFill>
        <a:blip r:embed="rId1"/>
        <a:stretch>
          <a:fillRect/>
        </a:stretch>
      </xdr:blipFill>
      <xdr:spPr>
        <a:xfrm>
          <a:off x="58674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 name="Picture 3" descr="https://sims.ics.muni.cz/sims_is/img/bod.gif"/>
        <xdr:cNvPicPr preferRelativeResize="1">
          <a:picLocks noChangeAspect="1"/>
        </xdr:cNvPicPr>
      </xdr:nvPicPr>
      <xdr:blipFill>
        <a:blip r:embed="rId1"/>
        <a:stretch>
          <a:fillRect/>
        </a:stretch>
      </xdr:blipFill>
      <xdr:spPr>
        <a:xfrm>
          <a:off x="609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 name="Picture 4" descr="https://sims.ics.muni.cz/sims_is/img/bod.gif"/>
        <xdr:cNvPicPr preferRelativeResize="1">
          <a:picLocks noChangeAspect="1"/>
        </xdr:cNvPicPr>
      </xdr:nvPicPr>
      <xdr:blipFill>
        <a:blip r:embed="rId1"/>
        <a:stretch>
          <a:fillRect/>
        </a:stretch>
      </xdr:blipFill>
      <xdr:spPr>
        <a:xfrm>
          <a:off x="609600" y="0"/>
          <a:ext cx="9525" cy="9525"/>
        </a:xfrm>
        <a:prstGeom prst="rect">
          <a:avLst/>
        </a:prstGeom>
        <a:noFill/>
        <a:ln w="9525" cmpd="sng">
          <a:noFill/>
        </a:ln>
      </xdr:spPr>
    </xdr:pic>
    <xdr:clientData/>
  </xdr:twoCellAnchor>
  <xdr:twoCellAnchor editAs="oneCell">
    <xdr:from>
      <xdr:col>0</xdr:col>
      <xdr:colOff>0</xdr:colOff>
      <xdr:row>2</xdr:row>
      <xdr:rowOff>0</xdr:rowOff>
    </xdr:from>
    <xdr:to>
      <xdr:col>0</xdr:col>
      <xdr:colOff>9525</xdr:colOff>
      <xdr:row>2</xdr:row>
      <xdr:rowOff>9525</xdr:rowOff>
    </xdr:to>
    <xdr:pic>
      <xdr:nvPicPr>
        <xdr:cNvPr id="7" name="Picture 1" descr="https://sims.ics.muni.cz/sims_is/img/bod.gif"/>
        <xdr:cNvPicPr preferRelativeResize="1">
          <a:picLocks noChangeAspect="1"/>
        </xdr:cNvPicPr>
      </xdr:nvPicPr>
      <xdr:blipFill>
        <a:blip r:embed="rId1"/>
        <a:stretch>
          <a:fillRect/>
        </a:stretch>
      </xdr:blipFill>
      <xdr:spPr>
        <a:xfrm>
          <a:off x="0" y="581025"/>
          <a:ext cx="9525" cy="9525"/>
        </a:xfrm>
        <a:prstGeom prst="rect">
          <a:avLst/>
        </a:prstGeom>
        <a:noFill/>
        <a:ln w="9525" cmpd="sng">
          <a:noFill/>
        </a:ln>
      </xdr:spPr>
    </xdr:pic>
    <xdr:clientData/>
  </xdr:twoCellAnchor>
  <xdr:twoCellAnchor editAs="oneCell">
    <xdr:from>
      <xdr:col>0</xdr:col>
      <xdr:colOff>0</xdr:colOff>
      <xdr:row>2</xdr:row>
      <xdr:rowOff>0</xdr:rowOff>
    </xdr:from>
    <xdr:to>
      <xdr:col>0</xdr:col>
      <xdr:colOff>9525</xdr:colOff>
      <xdr:row>2</xdr:row>
      <xdr:rowOff>9525</xdr:rowOff>
    </xdr:to>
    <xdr:pic>
      <xdr:nvPicPr>
        <xdr:cNvPr id="8" name="Picture 2" descr="https://sims.ics.muni.cz/sims_is/img/bod.gif"/>
        <xdr:cNvPicPr preferRelativeResize="1">
          <a:picLocks noChangeAspect="1"/>
        </xdr:cNvPicPr>
      </xdr:nvPicPr>
      <xdr:blipFill>
        <a:blip r:embed="rId1"/>
        <a:stretch>
          <a:fillRect/>
        </a:stretch>
      </xdr:blipFill>
      <xdr:spPr>
        <a:xfrm>
          <a:off x="0" y="581025"/>
          <a:ext cx="9525" cy="9525"/>
        </a:xfrm>
        <a:prstGeom prst="rect">
          <a:avLst/>
        </a:prstGeom>
        <a:noFill/>
        <a:ln w="9525" cmpd="sng">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9" name="Picture 3" descr="https://sims.ics.muni.cz/sims_is/img/bod.gif"/>
        <xdr:cNvPicPr preferRelativeResize="1">
          <a:picLocks noChangeAspect="1"/>
        </xdr:cNvPicPr>
      </xdr:nvPicPr>
      <xdr:blipFill>
        <a:blip r:embed="rId1"/>
        <a:stretch>
          <a:fillRect/>
        </a:stretch>
      </xdr:blipFill>
      <xdr:spPr>
        <a:xfrm>
          <a:off x="5867400" y="581025"/>
          <a:ext cx="9525" cy="9525"/>
        </a:xfrm>
        <a:prstGeom prst="rect">
          <a:avLst/>
        </a:prstGeom>
        <a:noFill/>
        <a:ln w="9525" cmpd="sng">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10" name="Picture 4" descr="https://sims.ics.muni.cz/sims_is/img/bod.gif"/>
        <xdr:cNvPicPr preferRelativeResize="1">
          <a:picLocks noChangeAspect="1"/>
        </xdr:cNvPicPr>
      </xdr:nvPicPr>
      <xdr:blipFill>
        <a:blip r:embed="rId1"/>
        <a:stretch>
          <a:fillRect/>
        </a:stretch>
      </xdr:blipFill>
      <xdr:spPr>
        <a:xfrm>
          <a:off x="5867400" y="581025"/>
          <a:ext cx="9525" cy="9525"/>
        </a:xfrm>
        <a:prstGeom prst="rect">
          <a:avLst/>
        </a:prstGeom>
        <a:noFill/>
        <a:ln w="9525" cmpd="sng">
          <a:noFill/>
        </a:ln>
      </xdr:spPr>
    </xdr:pic>
    <xdr:clientData/>
  </xdr:twoCellAnchor>
  <xdr:twoCellAnchor editAs="oneCell">
    <xdr:from>
      <xdr:col>1</xdr:col>
      <xdr:colOff>0</xdr:colOff>
      <xdr:row>2</xdr:row>
      <xdr:rowOff>0</xdr:rowOff>
    </xdr:from>
    <xdr:to>
      <xdr:col>1</xdr:col>
      <xdr:colOff>9525</xdr:colOff>
      <xdr:row>2</xdr:row>
      <xdr:rowOff>9525</xdr:rowOff>
    </xdr:to>
    <xdr:pic>
      <xdr:nvPicPr>
        <xdr:cNvPr id="11" name="Picture 3" descr="https://sims.ics.muni.cz/sims_is/img/bod.gif"/>
        <xdr:cNvPicPr preferRelativeResize="1">
          <a:picLocks noChangeAspect="1"/>
        </xdr:cNvPicPr>
      </xdr:nvPicPr>
      <xdr:blipFill>
        <a:blip r:embed="rId1"/>
        <a:stretch>
          <a:fillRect/>
        </a:stretch>
      </xdr:blipFill>
      <xdr:spPr>
        <a:xfrm>
          <a:off x="609600" y="581025"/>
          <a:ext cx="9525" cy="9525"/>
        </a:xfrm>
        <a:prstGeom prst="rect">
          <a:avLst/>
        </a:prstGeom>
        <a:noFill/>
        <a:ln w="9525" cmpd="sng">
          <a:noFill/>
        </a:ln>
      </xdr:spPr>
    </xdr:pic>
    <xdr:clientData/>
  </xdr:twoCellAnchor>
  <xdr:twoCellAnchor editAs="oneCell">
    <xdr:from>
      <xdr:col>1</xdr:col>
      <xdr:colOff>0</xdr:colOff>
      <xdr:row>2</xdr:row>
      <xdr:rowOff>0</xdr:rowOff>
    </xdr:from>
    <xdr:to>
      <xdr:col>1</xdr:col>
      <xdr:colOff>9525</xdr:colOff>
      <xdr:row>2</xdr:row>
      <xdr:rowOff>9525</xdr:rowOff>
    </xdr:to>
    <xdr:pic>
      <xdr:nvPicPr>
        <xdr:cNvPr id="12" name="Picture 4" descr="https://sims.ics.muni.cz/sims_is/img/bod.gif"/>
        <xdr:cNvPicPr preferRelativeResize="1">
          <a:picLocks noChangeAspect="1"/>
        </xdr:cNvPicPr>
      </xdr:nvPicPr>
      <xdr:blipFill>
        <a:blip r:embed="rId1"/>
        <a:stretch>
          <a:fillRect/>
        </a:stretch>
      </xdr:blipFill>
      <xdr:spPr>
        <a:xfrm>
          <a:off x="609600" y="581025"/>
          <a:ext cx="9525" cy="9525"/>
        </a:xfrm>
        <a:prstGeom prst="rect">
          <a:avLst/>
        </a:prstGeom>
        <a:noFill/>
        <a:ln w="9525" cmpd="sng">
          <a:noFill/>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13" name="Picture 1" descr="https://sims.ics.muni.cz/sims_is/img/bod.gif"/>
        <xdr:cNvPicPr preferRelativeResize="1">
          <a:picLocks noChangeAspect="1"/>
        </xdr:cNvPicPr>
      </xdr:nvPicPr>
      <xdr:blipFill>
        <a:blip r:embed="rId1"/>
        <a:stretch>
          <a:fillRect/>
        </a:stretch>
      </xdr:blipFill>
      <xdr:spPr>
        <a:xfrm>
          <a:off x="0" y="1590675"/>
          <a:ext cx="9525" cy="9525"/>
        </a:xfrm>
        <a:prstGeom prst="rect">
          <a:avLst/>
        </a:prstGeom>
        <a:noFill/>
        <a:ln w="9525" cmpd="sng">
          <a:noFill/>
        </a:ln>
      </xdr:spPr>
    </xdr:pic>
    <xdr:clientData/>
  </xdr:twoCellAnchor>
  <xdr:twoCellAnchor editAs="oneCell">
    <xdr:from>
      <xdr:col>0</xdr:col>
      <xdr:colOff>0</xdr:colOff>
      <xdr:row>7</xdr:row>
      <xdr:rowOff>0</xdr:rowOff>
    </xdr:from>
    <xdr:to>
      <xdr:col>0</xdr:col>
      <xdr:colOff>9525</xdr:colOff>
      <xdr:row>7</xdr:row>
      <xdr:rowOff>9525</xdr:rowOff>
    </xdr:to>
    <xdr:pic>
      <xdr:nvPicPr>
        <xdr:cNvPr id="14" name="Picture 2" descr="https://sims.ics.muni.cz/sims_is/img/bod.gif"/>
        <xdr:cNvPicPr preferRelativeResize="1">
          <a:picLocks noChangeAspect="1"/>
        </xdr:cNvPicPr>
      </xdr:nvPicPr>
      <xdr:blipFill>
        <a:blip r:embed="rId1"/>
        <a:stretch>
          <a:fillRect/>
        </a:stretch>
      </xdr:blipFill>
      <xdr:spPr>
        <a:xfrm>
          <a:off x="0" y="1590675"/>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15" name="Picture 3" descr="https://sims.ics.muni.cz/sims_is/img/bod.gif"/>
        <xdr:cNvPicPr preferRelativeResize="1">
          <a:picLocks noChangeAspect="1"/>
        </xdr:cNvPicPr>
      </xdr:nvPicPr>
      <xdr:blipFill>
        <a:blip r:embed="rId1"/>
        <a:stretch>
          <a:fillRect/>
        </a:stretch>
      </xdr:blipFill>
      <xdr:spPr>
        <a:xfrm>
          <a:off x="6829425" y="272415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16" name="Picture 4" descr="https://sims.ics.muni.cz/sims_is/img/bod.gif"/>
        <xdr:cNvPicPr preferRelativeResize="1">
          <a:picLocks noChangeAspect="1"/>
        </xdr:cNvPicPr>
      </xdr:nvPicPr>
      <xdr:blipFill>
        <a:blip r:embed="rId1"/>
        <a:stretch>
          <a:fillRect/>
        </a:stretch>
      </xdr:blipFill>
      <xdr:spPr>
        <a:xfrm>
          <a:off x="6829425" y="2724150"/>
          <a:ext cx="9525" cy="9525"/>
        </a:xfrm>
        <a:prstGeom prst="rect">
          <a:avLst/>
        </a:prstGeom>
        <a:noFill/>
        <a:ln w="9525" cmpd="sng">
          <a:noFill/>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7" name="Picture 3" descr="https://sims.ics.muni.cz/sims_is/img/bod.gif"/>
        <xdr:cNvPicPr preferRelativeResize="1">
          <a:picLocks noChangeAspect="1"/>
        </xdr:cNvPicPr>
      </xdr:nvPicPr>
      <xdr:blipFill>
        <a:blip r:embed="rId1"/>
        <a:stretch>
          <a:fillRect/>
        </a:stretch>
      </xdr:blipFill>
      <xdr:spPr>
        <a:xfrm>
          <a:off x="1057275" y="2724150"/>
          <a:ext cx="9525" cy="9525"/>
        </a:xfrm>
        <a:prstGeom prst="rect">
          <a:avLst/>
        </a:prstGeom>
        <a:noFill/>
        <a:ln w="9525" cmpd="sng">
          <a:noFill/>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8" name="Picture 4" descr="https://sims.ics.muni.cz/sims_is/img/bod.gif"/>
        <xdr:cNvPicPr preferRelativeResize="1">
          <a:picLocks noChangeAspect="1"/>
        </xdr:cNvPicPr>
      </xdr:nvPicPr>
      <xdr:blipFill>
        <a:blip r:embed="rId1"/>
        <a:stretch>
          <a:fillRect/>
        </a:stretch>
      </xdr:blipFill>
      <xdr:spPr>
        <a:xfrm>
          <a:off x="1057275" y="272415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Picture 2"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Picture 2"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Picture 3"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Picture 4"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Picture 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Picture 2"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Picture 3"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8" name="Picture 4"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9" name="Picture 7"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0" name="Picture 8"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1" name="Picture 9"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2" name="Picture 10"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3" name="Picture 1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4" name="Picture 12"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5" name="Picture 1"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6" name="Picture 2"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7" name="Picture 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8" name="Picture 2"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9" name="Picture 3"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0" name="Picture 4"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1" name="Picture 5"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2" name="Picture 6"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3" name="Picture 7"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4" name="Picture 8"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5" name="Picture 9"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6" name="Picture 10"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7" name="Picture 1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8" name="Picture 2"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9" name="Picture 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0" name="Picture 2"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1" name="Picture 3"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2" name="Picture 4"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3" name="Picture 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4" name="Picture 2"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5" name="Picture 3"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6" name="Picture 4"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7" name="Picture 7"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8" name="Picture 8"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9" name="Picture 9"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0" name="Picture 10"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1" name="Picture 1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2" name="Picture 12"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3" name="Picture 1"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4" name="Picture 2"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5" name="Picture 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6" name="Picture 2"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7" name="Picture 3"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8" name="Picture 4"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9" name="Picture 5"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0" name="Picture 6"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1" name="Picture 7"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2" name="Picture 8"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3" name="Picture 9"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4" name="Picture 10"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5" name="Picture 11" descr="bod"/>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6" name="Picture 2"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2"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Picture 2" descr="https://sims.ics.muni.cz/sims_is/img/bod.gif"/>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showGridLines="0" zoomScale="90" zoomScaleNormal="90" workbookViewId="0" topLeftCell="A1">
      <selection activeCell="A36" sqref="A36"/>
    </sheetView>
  </sheetViews>
  <sheetFormatPr defaultColWidth="9.140625" defaultRowHeight="12.75"/>
  <cols>
    <col min="1" max="1" width="80.28125" style="3" customWidth="1"/>
    <col min="2" max="2" width="15.421875" style="3" bestFit="1" customWidth="1"/>
    <col min="3" max="3" width="9.28125" style="3" bestFit="1" customWidth="1"/>
    <col min="4" max="4" width="15.421875" style="3" bestFit="1" customWidth="1"/>
    <col min="5" max="5" width="11.28125" style="3" bestFit="1" customWidth="1"/>
    <col min="6" max="6" width="10.8515625" style="3" bestFit="1" customWidth="1"/>
    <col min="7" max="7" width="12.00390625" style="3" bestFit="1" customWidth="1"/>
    <col min="8" max="10" width="13.28125" style="3" bestFit="1" customWidth="1"/>
    <col min="11" max="11" width="15.421875" style="3" bestFit="1" customWidth="1"/>
    <col min="12" max="12" width="9.8515625" style="3" bestFit="1" customWidth="1"/>
    <col min="13" max="13" width="10.57421875" style="3" bestFit="1" customWidth="1"/>
    <col min="14" max="14" width="12.140625" style="3" bestFit="1" customWidth="1"/>
    <col min="15" max="16" width="10.8515625" style="3" bestFit="1" customWidth="1"/>
    <col min="17" max="16384" width="9.140625" style="3" customWidth="1"/>
  </cols>
  <sheetData>
    <row r="1" spans="1:12" ht="18">
      <c r="A1" s="4" t="s">
        <v>30</v>
      </c>
      <c r="L1" s="5"/>
    </row>
    <row r="2" ht="15">
      <c r="A2" s="6" t="s">
        <v>1</v>
      </c>
    </row>
    <row r="4" ht="15">
      <c r="A4" s="6"/>
    </row>
    <row r="5" spans="1:11" ht="187.5" customHeight="1" thickBot="1">
      <c r="A5" s="39" t="s">
        <v>7</v>
      </c>
      <c r="B5" s="40"/>
      <c r="C5" s="41"/>
      <c r="D5" s="42"/>
      <c r="E5" s="43" t="s">
        <v>19</v>
      </c>
      <c r="F5" s="43" t="s">
        <v>20</v>
      </c>
      <c r="G5" s="44" t="s">
        <v>21</v>
      </c>
      <c r="H5" s="43" t="s">
        <v>22</v>
      </c>
      <c r="I5" s="41"/>
      <c r="J5" s="42"/>
      <c r="K5" s="45"/>
    </row>
    <row r="6" spans="1:11" ht="14.25">
      <c r="A6" s="46"/>
      <c r="B6" s="47" t="s">
        <v>10</v>
      </c>
      <c r="C6" s="48" t="s">
        <v>11</v>
      </c>
      <c r="D6" s="49" t="s">
        <v>14</v>
      </c>
      <c r="E6" s="50"/>
      <c r="F6" s="50"/>
      <c r="G6" s="51"/>
      <c r="H6" s="50"/>
      <c r="I6" s="48" t="s">
        <v>11</v>
      </c>
      <c r="J6" s="49" t="s">
        <v>0</v>
      </c>
      <c r="K6" s="52" t="s">
        <v>8</v>
      </c>
    </row>
    <row r="7" spans="1:11" ht="14.25">
      <c r="A7" s="46"/>
      <c r="B7" s="53" t="s">
        <v>23</v>
      </c>
      <c r="C7" s="54" t="s">
        <v>6</v>
      </c>
      <c r="D7" s="55" t="s">
        <v>16</v>
      </c>
      <c r="E7" s="56" t="s">
        <v>15</v>
      </c>
      <c r="F7" s="56" t="s">
        <v>24</v>
      </c>
      <c r="G7" s="57" t="s">
        <v>12</v>
      </c>
      <c r="H7" s="56" t="s">
        <v>25</v>
      </c>
      <c r="I7" s="54" t="s">
        <v>17</v>
      </c>
      <c r="J7" s="55" t="s">
        <v>2</v>
      </c>
      <c r="K7" s="58" t="s">
        <v>9</v>
      </c>
    </row>
    <row r="8" spans="1:11" ht="15" thickBot="1">
      <c r="A8" s="46"/>
      <c r="B8" s="53"/>
      <c r="C8" s="54" t="s">
        <v>18</v>
      </c>
      <c r="D8" s="55"/>
      <c r="E8" s="56"/>
      <c r="F8" s="56"/>
      <c r="G8" s="57"/>
      <c r="H8" s="56"/>
      <c r="I8" s="54">
        <v>2014</v>
      </c>
      <c r="J8" s="55" t="s">
        <v>26</v>
      </c>
      <c r="K8" s="58">
        <v>2014</v>
      </c>
    </row>
    <row r="9" spans="1:11" ht="15">
      <c r="A9" s="59" t="s">
        <v>3</v>
      </c>
      <c r="B9" s="60"/>
      <c r="C9" s="61"/>
      <c r="D9" s="62"/>
      <c r="E9" s="63"/>
      <c r="F9" s="63"/>
      <c r="G9" s="64"/>
      <c r="H9" s="63"/>
      <c r="I9" s="61"/>
      <c r="J9" s="62"/>
      <c r="K9" s="65"/>
    </row>
    <row r="10" spans="1:11" ht="14.25">
      <c r="A10" s="66" t="s">
        <v>27</v>
      </c>
      <c r="B10" s="67">
        <v>21803802</v>
      </c>
      <c r="C10" s="68">
        <v>0</v>
      </c>
      <c r="D10" s="69">
        <v>21803802</v>
      </c>
      <c r="E10" s="70">
        <v>18500</v>
      </c>
      <c r="F10" s="70">
        <v>-1500</v>
      </c>
      <c r="G10" s="71">
        <v>-50000</v>
      </c>
      <c r="H10" s="70"/>
      <c r="I10" s="68">
        <v>-33000</v>
      </c>
      <c r="J10" s="69">
        <v>-33000</v>
      </c>
      <c r="K10" s="72">
        <v>21770802</v>
      </c>
    </row>
    <row r="11" spans="1:11" ht="15">
      <c r="A11" s="73" t="s">
        <v>4</v>
      </c>
      <c r="B11" s="74"/>
      <c r="C11" s="75"/>
      <c r="D11" s="76"/>
      <c r="E11" s="77"/>
      <c r="F11" s="77"/>
      <c r="G11" s="78"/>
      <c r="H11" s="77"/>
      <c r="I11" s="75"/>
      <c r="J11" s="76"/>
      <c r="K11" s="79"/>
    </row>
    <row r="12" spans="1:11" ht="14.25">
      <c r="A12" s="80" t="s">
        <v>28</v>
      </c>
      <c r="B12" s="67">
        <v>21803802</v>
      </c>
      <c r="C12" s="68">
        <v>0</v>
      </c>
      <c r="D12" s="69">
        <v>21803802</v>
      </c>
      <c r="E12" s="81">
        <v>18500</v>
      </c>
      <c r="F12" s="81">
        <v>-1500</v>
      </c>
      <c r="G12" s="82">
        <v>-50000</v>
      </c>
      <c r="H12" s="81"/>
      <c r="I12" s="68">
        <v>-33000</v>
      </c>
      <c r="J12" s="69">
        <v>-33000</v>
      </c>
      <c r="K12" s="72">
        <v>21770802</v>
      </c>
    </row>
    <row r="13" spans="1:11" ht="15">
      <c r="A13" s="83" t="s">
        <v>5</v>
      </c>
      <c r="B13" s="74"/>
      <c r="C13" s="75"/>
      <c r="D13" s="76"/>
      <c r="E13" s="84"/>
      <c r="F13" s="84"/>
      <c r="G13" s="85"/>
      <c r="H13" s="84"/>
      <c r="I13" s="75"/>
      <c r="J13" s="76"/>
      <c r="K13" s="79"/>
    </row>
    <row r="14" spans="1:11" ht="14.25">
      <c r="A14" s="80" t="s">
        <v>29</v>
      </c>
      <c r="B14" s="67">
        <v>1995030</v>
      </c>
      <c r="C14" s="68">
        <v>0</v>
      </c>
      <c r="D14" s="69">
        <v>1995030</v>
      </c>
      <c r="E14" s="81">
        <v>18500</v>
      </c>
      <c r="F14" s="81"/>
      <c r="G14" s="82"/>
      <c r="H14" s="81">
        <v>-150000</v>
      </c>
      <c r="I14" s="68">
        <v>-131500</v>
      </c>
      <c r="J14" s="69">
        <v>-131500</v>
      </c>
      <c r="K14" s="72">
        <v>1863530</v>
      </c>
    </row>
  </sheetData>
  <sheetProtection/>
  <printOptions horizontalCentered="1"/>
  <pageMargins left="0.5905511811023623" right="0.5905511811023623" top="0.984251968503937" bottom="0.2755905511811024" header="0.7086614173228347" footer="0.1968503937007874"/>
  <pageSetup fitToHeight="1" fitToWidth="1" horizontalDpi="600" verticalDpi="600" orientation="landscape" paperSize="9" scale="65" r:id="rId1"/>
  <headerFooter alignWithMargins="0">
    <oddHeader>&amp;R&amp;"Arial,Kurzíva"&amp;12Kapitola B.3.I.1&amp;"Arial,Obyčejné"
&amp;"Arial,Tučné"Tabulka č.1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65"/>
  <sheetViews>
    <sheetView zoomScale="70" zoomScaleNormal="70" workbookViewId="0" topLeftCell="A1">
      <selection activeCell="T10" sqref="T10"/>
    </sheetView>
  </sheetViews>
  <sheetFormatPr defaultColWidth="9.140625" defaultRowHeight="12.75"/>
  <cols>
    <col min="1" max="2" width="3.421875" style="16" customWidth="1"/>
    <col min="3" max="3" width="7.28125" style="16" customWidth="1"/>
    <col min="4" max="4" width="23.28125" style="16" customWidth="1"/>
    <col min="5" max="5" width="13.421875" style="16" customWidth="1"/>
    <col min="6" max="6" width="14.00390625" style="16" customWidth="1"/>
    <col min="7" max="7" width="13.7109375" style="16" customWidth="1"/>
    <col min="8" max="8" width="14.00390625" style="16" customWidth="1"/>
    <col min="9" max="9" width="13.00390625" style="16" customWidth="1"/>
    <col min="10" max="11" width="12.421875" style="16" customWidth="1"/>
    <col min="12" max="12" width="14.28125" style="17" customWidth="1"/>
    <col min="13" max="13" width="13.57421875" style="16" customWidth="1"/>
    <col min="14" max="14" width="13.8515625" style="18" customWidth="1"/>
    <col min="15" max="15" width="13.7109375" style="2" customWidth="1"/>
    <col min="16" max="16" width="13.8515625" style="2" customWidth="1"/>
    <col min="17" max="17" width="9.57421875" style="8" customWidth="1"/>
    <col min="18" max="18" width="9.140625" style="7" customWidth="1"/>
    <col min="19" max="19" width="9.140625" style="9" customWidth="1"/>
    <col min="20" max="16384" width="9.140625" style="2" customWidth="1"/>
  </cols>
  <sheetData>
    <row r="1" spans="1:17" ht="30.75" customHeight="1">
      <c r="A1" s="831" t="s">
        <v>101</v>
      </c>
      <c r="B1" s="831"/>
      <c r="C1" s="831"/>
      <c r="D1" s="831"/>
      <c r="E1" s="831"/>
      <c r="F1" s="831"/>
      <c r="G1" s="831"/>
      <c r="H1" s="831"/>
      <c r="I1" s="831"/>
      <c r="J1" s="831"/>
      <c r="K1" s="831"/>
      <c r="L1" s="831"/>
      <c r="M1" s="831"/>
      <c r="N1" s="831"/>
      <c r="O1" s="831"/>
      <c r="P1" s="831"/>
      <c r="Q1" s="831"/>
    </row>
    <row r="2" spans="1:17" ht="20.25">
      <c r="A2" s="10" t="s">
        <v>13</v>
      </c>
      <c r="B2" s="11"/>
      <c r="C2" s="11"/>
      <c r="D2" s="11"/>
      <c r="E2" s="11"/>
      <c r="F2" s="11"/>
      <c r="G2" s="11"/>
      <c r="H2" s="11"/>
      <c r="I2" s="11"/>
      <c r="J2" s="11"/>
      <c r="K2" s="11"/>
      <c r="L2" s="11"/>
      <c r="M2" s="11"/>
      <c r="N2" s="11"/>
      <c r="O2" s="12"/>
      <c r="P2" s="12"/>
      <c r="Q2" s="12"/>
    </row>
    <row r="3" spans="1:17" ht="20.25">
      <c r="A3" s="12"/>
      <c r="B3" s="12"/>
      <c r="C3" s="11"/>
      <c r="D3" s="11"/>
      <c r="E3" s="11"/>
      <c r="F3" s="11"/>
      <c r="G3" s="11"/>
      <c r="H3" s="11"/>
      <c r="I3" s="11"/>
      <c r="J3" s="13"/>
      <c r="K3" s="13"/>
      <c r="L3" s="14"/>
      <c r="M3" s="13"/>
      <c r="N3" s="15"/>
      <c r="O3" s="12"/>
      <c r="P3" s="12"/>
      <c r="Q3" s="12"/>
    </row>
    <row r="4" ht="24" thickBot="1">
      <c r="I4" s="19"/>
    </row>
    <row r="5" spans="1:18" s="96" customFormat="1" ht="32.25" customHeight="1" thickBot="1">
      <c r="A5" s="832" t="s">
        <v>31</v>
      </c>
      <c r="B5" s="833"/>
      <c r="C5" s="833"/>
      <c r="D5" s="833"/>
      <c r="E5" s="86" t="s">
        <v>32</v>
      </c>
      <c r="F5" s="87" t="s">
        <v>33</v>
      </c>
      <c r="G5" s="88" t="s">
        <v>34</v>
      </c>
      <c r="H5" s="89" t="s">
        <v>35</v>
      </c>
      <c r="I5" s="90" t="s">
        <v>36</v>
      </c>
      <c r="J5" s="834" t="s">
        <v>31</v>
      </c>
      <c r="K5" s="835"/>
      <c r="L5" s="664" t="s">
        <v>32</v>
      </c>
      <c r="M5" s="91" t="s">
        <v>33</v>
      </c>
      <c r="N5" s="92" t="s">
        <v>34</v>
      </c>
      <c r="O5" s="93" t="s">
        <v>35</v>
      </c>
      <c r="P5" s="94" t="s">
        <v>36</v>
      </c>
      <c r="Q5" s="666"/>
      <c r="R5" s="666"/>
    </row>
    <row r="6" spans="1:18" s="16" customFormat="1" ht="33" customHeight="1">
      <c r="A6" s="836" t="s">
        <v>37</v>
      </c>
      <c r="B6" s="837"/>
      <c r="C6" s="837"/>
      <c r="D6" s="838"/>
      <c r="E6" s="97">
        <v>33012.209190902606</v>
      </c>
      <c r="F6" s="98">
        <v>30546.478380440745</v>
      </c>
      <c r="G6" s="99">
        <v>32401</v>
      </c>
      <c r="H6" s="100">
        <v>33964.52764890309</v>
      </c>
      <c r="I6" s="101">
        <f>H6/G6-1</f>
        <v>0.04825553683229189</v>
      </c>
      <c r="J6" s="839" t="s">
        <v>38</v>
      </c>
      <c r="K6" s="840"/>
      <c r="L6" s="97">
        <v>89429</v>
      </c>
      <c r="M6" s="97">
        <v>83041.32025274361</v>
      </c>
      <c r="N6" s="102">
        <v>90000</v>
      </c>
      <c r="O6" s="103">
        <v>90000</v>
      </c>
      <c r="P6" s="104">
        <f>O6/N6-1</f>
        <v>0</v>
      </c>
      <c r="Q6" s="666"/>
      <c r="R6" s="666"/>
    </row>
    <row r="7" spans="1:18" s="16" customFormat="1" ht="30.75" customHeight="1">
      <c r="A7" s="841" t="s">
        <v>39</v>
      </c>
      <c r="B7" s="842"/>
      <c r="C7" s="842"/>
      <c r="D7" s="843"/>
      <c r="E7" s="105">
        <v>26428.29909612293</v>
      </c>
      <c r="F7" s="106">
        <v>24437.1827043526</v>
      </c>
      <c r="G7" s="107">
        <v>25111</v>
      </c>
      <c r="H7" s="108">
        <v>26322.509671198848</v>
      </c>
      <c r="I7" s="109">
        <f>H7/G7-1</f>
        <v>0.04824617383612151</v>
      </c>
      <c r="J7" s="806" t="s">
        <v>40</v>
      </c>
      <c r="K7" s="807"/>
      <c r="L7" s="110">
        <v>5800</v>
      </c>
      <c r="M7" s="110">
        <v>5367.246073263169</v>
      </c>
      <c r="N7" s="111">
        <v>5400</v>
      </c>
      <c r="O7" s="112">
        <v>5400</v>
      </c>
      <c r="P7" s="109">
        <f>O7/N7-1</f>
        <v>0</v>
      </c>
      <c r="Q7" s="666"/>
      <c r="R7" s="666"/>
    </row>
    <row r="8" spans="1:18" s="16" customFormat="1" ht="33" customHeight="1" thickBot="1">
      <c r="A8" s="844" t="s">
        <v>41</v>
      </c>
      <c r="B8" s="845"/>
      <c r="C8" s="845"/>
      <c r="D8" s="845"/>
      <c r="E8" s="113">
        <v>15253.994069753577</v>
      </c>
      <c r="F8" s="114" t="s">
        <v>42</v>
      </c>
      <c r="G8" s="115" t="s">
        <v>42</v>
      </c>
      <c r="H8" s="116" t="s">
        <v>42</v>
      </c>
      <c r="I8" s="117" t="s">
        <v>42</v>
      </c>
      <c r="J8" s="806" t="s">
        <v>43</v>
      </c>
      <c r="K8" s="807"/>
      <c r="L8" s="110">
        <v>1620</v>
      </c>
      <c r="M8" s="110">
        <v>1620</v>
      </c>
      <c r="N8" s="111">
        <v>1620</v>
      </c>
      <c r="O8" s="112">
        <v>1620</v>
      </c>
      <c r="P8" s="109">
        <f>O8/N8-1</f>
        <v>0</v>
      </c>
      <c r="Q8" s="666"/>
      <c r="R8" s="666"/>
    </row>
    <row r="9" spans="1:18" s="16" customFormat="1" ht="30.75" customHeight="1" thickBot="1">
      <c r="A9" s="808"/>
      <c r="B9" s="808"/>
      <c r="C9" s="808"/>
      <c r="D9" s="808"/>
      <c r="E9" s="808"/>
      <c r="F9" s="808"/>
      <c r="G9" s="808"/>
      <c r="H9" s="808"/>
      <c r="I9" s="665"/>
      <c r="J9" s="809" t="s">
        <v>44</v>
      </c>
      <c r="K9" s="810"/>
      <c r="L9" s="118">
        <v>19.3995</v>
      </c>
      <c r="M9" s="118">
        <v>17.95</v>
      </c>
      <c r="N9" s="119">
        <v>17.95</v>
      </c>
      <c r="O9" s="120">
        <v>17.95</v>
      </c>
      <c r="P9" s="121">
        <f>O9/N9-1</f>
        <v>0</v>
      </c>
      <c r="Q9" s="666"/>
      <c r="R9" s="666"/>
    </row>
    <row r="10" spans="1:17" s="16" customFormat="1" ht="15.75" thickBot="1">
      <c r="A10" s="811"/>
      <c r="B10" s="811"/>
      <c r="C10" s="811"/>
      <c r="D10" s="811"/>
      <c r="E10" s="811"/>
      <c r="F10" s="811"/>
      <c r="G10" s="811"/>
      <c r="H10" s="811"/>
      <c r="I10" s="811"/>
      <c r="J10" s="122"/>
      <c r="K10" s="122"/>
      <c r="L10" s="122"/>
      <c r="M10" s="122"/>
      <c r="N10" s="122"/>
      <c r="O10" s="12"/>
      <c r="P10" s="12"/>
      <c r="Q10" s="12"/>
    </row>
    <row r="11" spans="1:17" s="16" customFormat="1" ht="23.25" customHeight="1">
      <c r="A11" s="812" t="s">
        <v>45</v>
      </c>
      <c r="B11" s="814" t="s">
        <v>46</v>
      </c>
      <c r="C11" s="816" t="s">
        <v>47</v>
      </c>
      <c r="D11" s="817"/>
      <c r="E11" s="817"/>
      <c r="F11" s="817"/>
      <c r="G11" s="818"/>
      <c r="H11" s="803" t="s">
        <v>48</v>
      </c>
      <c r="I11" s="803" t="s">
        <v>49</v>
      </c>
      <c r="J11" s="797" t="s">
        <v>327</v>
      </c>
      <c r="K11" s="800" t="s">
        <v>328</v>
      </c>
      <c r="L11" s="803" t="s">
        <v>50</v>
      </c>
      <c r="M11" s="785" t="s">
        <v>329</v>
      </c>
      <c r="N11" s="825" t="s">
        <v>330</v>
      </c>
      <c r="O11" s="828" t="s">
        <v>51</v>
      </c>
      <c r="P11" s="785" t="s">
        <v>329</v>
      </c>
      <c r="Q11" s="788" t="s">
        <v>330</v>
      </c>
    </row>
    <row r="12" spans="1:17" s="16" customFormat="1" ht="23.25" customHeight="1">
      <c r="A12" s="813"/>
      <c r="B12" s="815"/>
      <c r="C12" s="819"/>
      <c r="D12" s="820"/>
      <c r="E12" s="820"/>
      <c r="F12" s="820"/>
      <c r="G12" s="821"/>
      <c r="H12" s="804"/>
      <c r="I12" s="804"/>
      <c r="J12" s="798"/>
      <c r="K12" s="801"/>
      <c r="L12" s="804"/>
      <c r="M12" s="786"/>
      <c r="N12" s="826"/>
      <c r="O12" s="829"/>
      <c r="P12" s="786"/>
      <c r="Q12" s="789"/>
    </row>
    <row r="13" spans="1:17" s="123" customFormat="1" ht="23.25" customHeight="1" thickBot="1">
      <c r="A13" s="813"/>
      <c r="B13" s="815"/>
      <c r="C13" s="822"/>
      <c r="D13" s="823"/>
      <c r="E13" s="823"/>
      <c r="F13" s="823"/>
      <c r="G13" s="824"/>
      <c r="H13" s="805"/>
      <c r="I13" s="805"/>
      <c r="J13" s="799"/>
      <c r="K13" s="802"/>
      <c r="L13" s="805"/>
      <c r="M13" s="787"/>
      <c r="N13" s="827"/>
      <c r="O13" s="830"/>
      <c r="P13" s="787"/>
      <c r="Q13" s="790"/>
    </row>
    <row r="14" spans="1:17" s="127" customFormat="1" ht="16.5" thickBot="1">
      <c r="A14" s="124"/>
      <c r="B14" s="125"/>
      <c r="C14" s="791">
        <v>1</v>
      </c>
      <c r="D14" s="792"/>
      <c r="E14" s="792"/>
      <c r="F14" s="792"/>
      <c r="G14" s="792"/>
      <c r="H14" s="126">
        <v>3</v>
      </c>
      <c r="I14" s="126">
        <v>6</v>
      </c>
      <c r="J14" s="667">
        <v>4</v>
      </c>
      <c r="K14" s="668">
        <v>5</v>
      </c>
      <c r="L14" s="126">
        <v>9</v>
      </c>
      <c r="M14" s="669">
        <v>7</v>
      </c>
      <c r="N14" s="668">
        <v>8</v>
      </c>
      <c r="O14" s="670">
        <v>9</v>
      </c>
      <c r="P14" s="669">
        <v>10</v>
      </c>
      <c r="Q14" s="671">
        <v>11</v>
      </c>
    </row>
    <row r="15" spans="1:17" s="16" customFormat="1" ht="14.25">
      <c r="A15" s="128"/>
      <c r="B15" s="129"/>
      <c r="C15" s="130"/>
      <c r="D15" s="13"/>
      <c r="E15" s="13"/>
      <c r="F15" s="13"/>
      <c r="G15" s="13"/>
      <c r="H15" s="131"/>
      <c r="I15" s="131"/>
      <c r="J15" s="672"/>
      <c r="K15" s="672"/>
      <c r="L15" s="131"/>
      <c r="M15" s="672"/>
      <c r="N15" s="129"/>
      <c r="O15" s="673"/>
      <c r="P15" s="672"/>
      <c r="Q15" s="674"/>
    </row>
    <row r="16" spans="1:19" s="16" customFormat="1" ht="15.75" thickBot="1">
      <c r="A16" s="128"/>
      <c r="B16" s="129"/>
      <c r="C16" s="132" t="s">
        <v>52</v>
      </c>
      <c r="D16" s="13"/>
      <c r="E16" s="13"/>
      <c r="F16" s="13"/>
      <c r="G16" s="13"/>
      <c r="H16" s="131"/>
      <c r="I16" s="131"/>
      <c r="J16" s="672"/>
      <c r="K16" s="672"/>
      <c r="L16" s="131"/>
      <c r="M16" s="672"/>
      <c r="N16" s="129"/>
      <c r="O16" s="673"/>
      <c r="P16" s="672"/>
      <c r="Q16" s="674"/>
      <c r="S16" s="675"/>
    </row>
    <row r="17" spans="1:19" s="16" customFormat="1" ht="14.25">
      <c r="A17" s="133" t="s">
        <v>53</v>
      </c>
      <c r="B17" s="134"/>
      <c r="C17" s="793" t="s">
        <v>54</v>
      </c>
      <c r="D17" s="794"/>
      <c r="E17" s="794"/>
      <c r="F17" s="794"/>
      <c r="G17" s="794"/>
      <c r="H17" s="135">
        <v>13288205</v>
      </c>
      <c r="I17" s="135">
        <v>12382584</v>
      </c>
      <c r="J17" s="676">
        <f>I17/$I$59</f>
        <v>0.6412931904732212</v>
      </c>
      <c r="K17" s="677">
        <f>I17/H17-1</f>
        <v>-0.06815224479152748</v>
      </c>
      <c r="L17" s="135">
        <f>12325278</f>
        <v>12325278</v>
      </c>
      <c r="M17" s="678">
        <f>L17/$L$58</f>
        <v>24.464721971901437</v>
      </c>
      <c r="N17" s="677">
        <f>L17/I17-1</f>
        <v>-0.004627951645633899</v>
      </c>
      <c r="O17" s="679">
        <v>12394580</v>
      </c>
      <c r="P17" s="678">
        <f>O17/$O$58</f>
        <v>20.980772193060115</v>
      </c>
      <c r="Q17" s="680">
        <f>O17/L17-1</f>
        <v>0.005622753498947475</v>
      </c>
      <c r="R17" s="136"/>
      <c r="S17" s="675"/>
    </row>
    <row r="18" spans="1:19" s="16" customFormat="1" ht="14.25">
      <c r="A18" s="137" t="s">
        <v>53</v>
      </c>
      <c r="B18" s="138"/>
      <c r="C18" s="795" t="s">
        <v>55</v>
      </c>
      <c r="D18" s="796"/>
      <c r="E18" s="796"/>
      <c r="F18" s="796"/>
      <c r="G18" s="796"/>
      <c r="H18" s="139">
        <v>1655202</v>
      </c>
      <c r="I18" s="140" t="s">
        <v>42</v>
      </c>
      <c r="J18" s="681" t="s">
        <v>42</v>
      </c>
      <c r="K18" s="682" t="s">
        <v>42</v>
      </c>
      <c r="L18" s="140" t="s">
        <v>42</v>
      </c>
      <c r="M18" s="683" t="s">
        <v>42</v>
      </c>
      <c r="N18" s="682" t="s">
        <v>42</v>
      </c>
      <c r="O18" s="684" t="s">
        <v>42</v>
      </c>
      <c r="P18" s="683" t="s">
        <v>42</v>
      </c>
      <c r="Q18" s="685" t="s">
        <v>42</v>
      </c>
      <c r="S18" s="675"/>
    </row>
    <row r="19" spans="1:19" s="16" customFormat="1" ht="15" thickBot="1">
      <c r="A19" s="141" t="s">
        <v>53</v>
      </c>
      <c r="B19" s="142"/>
      <c r="C19" s="773" t="s">
        <v>56</v>
      </c>
      <c r="D19" s="774"/>
      <c r="E19" s="774"/>
      <c r="F19" s="774"/>
      <c r="G19" s="774"/>
      <c r="H19" s="143">
        <v>1655202</v>
      </c>
      <c r="I19" s="143">
        <v>3095646</v>
      </c>
      <c r="J19" s="686">
        <f>I19/$I$59</f>
        <v>0.1603232976183053</v>
      </c>
      <c r="K19" s="687">
        <f>I19/H19-1</f>
        <v>0.8702526942330906</v>
      </c>
      <c r="L19" s="143">
        <v>3578306</v>
      </c>
      <c r="M19" s="688">
        <f>L19/$L$58</f>
        <v>7.10266019317266</v>
      </c>
      <c r="N19" s="689">
        <f>L19/I19-1</f>
        <v>0.15591576039379174</v>
      </c>
      <c r="O19" s="690">
        <v>3598426</v>
      </c>
      <c r="P19" s="688">
        <f>O19/$O$58</f>
        <v>6.0911911625552895</v>
      </c>
      <c r="Q19" s="691">
        <f>O19/L19-1</f>
        <v>0.005622772339760829</v>
      </c>
      <c r="R19" s="136"/>
      <c r="S19" s="675"/>
    </row>
    <row r="20" spans="1:18" s="148" customFormat="1" ht="15.75" thickBot="1">
      <c r="A20" s="144"/>
      <c r="B20" s="145"/>
      <c r="C20" s="775" t="s">
        <v>57</v>
      </c>
      <c r="D20" s="776"/>
      <c r="E20" s="776"/>
      <c r="F20" s="776"/>
      <c r="G20" s="776"/>
      <c r="H20" s="146">
        <f>SUM(H17:H19)</f>
        <v>16598609</v>
      </c>
      <c r="I20" s="146">
        <f>SUM(I17:I19)</f>
        <v>15478230</v>
      </c>
      <c r="J20" s="692">
        <f>I20/$I$59</f>
        <v>0.8016164880915265</v>
      </c>
      <c r="K20" s="693">
        <f>I20/H20-1</f>
        <v>-0.06749836688122479</v>
      </c>
      <c r="L20" s="146">
        <f>SUM(L17:L19)</f>
        <v>15903584</v>
      </c>
      <c r="M20" s="694">
        <f>L20/$L$58</f>
        <v>31.567382165074097</v>
      </c>
      <c r="N20" s="695">
        <f aca="true" t="shared" si="0" ref="N20:N62">L20/I20-1</f>
        <v>0.027480790762251184</v>
      </c>
      <c r="O20" s="696">
        <f>SUM(O19,O17)</f>
        <v>15993006</v>
      </c>
      <c r="P20" s="694">
        <f>O20/$O$58</f>
        <v>27.071963355615402</v>
      </c>
      <c r="Q20" s="697">
        <f>O20/L20-1</f>
        <v>0.005622757738130035</v>
      </c>
      <c r="R20" s="147"/>
    </row>
    <row r="21" spans="1:18" s="16" customFormat="1" ht="14.25">
      <c r="A21" s="128"/>
      <c r="B21" s="129"/>
      <c r="C21" s="130"/>
      <c r="D21" s="13"/>
      <c r="E21" s="13"/>
      <c r="F21" s="13"/>
      <c r="G21" s="13"/>
      <c r="H21" s="149"/>
      <c r="I21" s="149"/>
      <c r="J21" s="698"/>
      <c r="K21" s="698"/>
      <c r="L21" s="149"/>
      <c r="M21" s="698"/>
      <c r="N21" s="699"/>
      <c r="O21" s="700"/>
      <c r="P21" s="698"/>
      <c r="Q21" s="701"/>
      <c r="R21" s="150"/>
    </row>
    <row r="22" spans="1:17" s="16" customFormat="1" ht="15" thickBot="1">
      <c r="A22" s="128"/>
      <c r="B22" s="129"/>
      <c r="C22" s="130" t="s">
        <v>58</v>
      </c>
      <c r="D22" s="13"/>
      <c r="E22" s="13"/>
      <c r="F22" s="13"/>
      <c r="G22" s="13"/>
      <c r="H22" s="149"/>
      <c r="I22" s="149"/>
      <c r="J22" s="702"/>
      <c r="K22" s="702"/>
      <c r="L22" s="149"/>
      <c r="M22" s="702"/>
      <c r="N22" s="702"/>
      <c r="O22" s="700"/>
      <c r="P22" s="702"/>
      <c r="Q22" s="703"/>
    </row>
    <row r="23" spans="1:19" s="16" customFormat="1" ht="14.25">
      <c r="A23" s="133" t="s">
        <v>53</v>
      </c>
      <c r="B23" s="134"/>
      <c r="C23" s="777" t="s">
        <v>59</v>
      </c>
      <c r="D23" s="778"/>
      <c r="E23" s="778"/>
      <c r="F23" s="778"/>
      <c r="G23" s="778"/>
      <c r="H23" s="151">
        <v>1054455</v>
      </c>
      <c r="I23" s="151">
        <v>998821</v>
      </c>
      <c r="J23" s="704">
        <f aca="true" t="shared" si="1" ref="J23:J29">I23/$I$59</f>
        <v>0.0517288722452158</v>
      </c>
      <c r="K23" s="705">
        <f aca="true" t="shared" si="2" ref="K23:K29">I23/H23-1</f>
        <v>-0.052760904922448115</v>
      </c>
      <c r="L23" s="151">
        <v>1084050</v>
      </c>
      <c r="M23" s="706">
        <f aca="true" t="shared" si="3" ref="M23:M29">L23/$L$58</f>
        <v>2.151755266991929</v>
      </c>
      <c r="N23" s="705">
        <f t="shared" si="0"/>
        <v>0.08532960360264763</v>
      </c>
      <c r="O23" s="707">
        <v>1092690</v>
      </c>
      <c r="P23" s="706">
        <f aca="true" t="shared" si="4" ref="P23:P29">O23/$O$58</f>
        <v>1.8496375002327514</v>
      </c>
      <c r="Q23" s="708">
        <f aca="true" t="shared" si="5" ref="Q23:Q29">O23/L23-1</f>
        <v>0.007970112079701108</v>
      </c>
      <c r="R23" s="675"/>
      <c r="S23" s="675"/>
    </row>
    <row r="24" spans="1:19" s="16" customFormat="1" ht="14.25">
      <c r="A24" s="137"/>
      <c r="B24" s="152" t="s">
        <v>60</v>
      </c>
      <c r="C24" s="779" t="s">
        <v>61</v>
      </c>
      <c r="D24" s="780"/>
      <c r="E24" s="780"/>
      <c r="F24" s="780"/>
      <c r="G24" s="780"/>
      <c r="H24" s="153">
        <v>198340</v>
      </c>
      <c r="I24" s="153">
        <v>180629</v>
      </c>
      <c r="J24" s="709">
        <f t="shared" si="1"/>
        <v>0.009354763731220194</v>
      </c>
      <c r="K24" s="710">
        <f t="shared" si="2"/>
        <v>-0.08929615811233238</v>
      </c>
      <c r="L24" s="153">
        <v>173187</v>
      </c>
      <c r="M24" s="711">
        <f t="shared" si="3"/>
        <v>0.3437627779387771</v>
      </c>
      <c r="N24" s="710">
        <f t="shared" si="0"/>
        <v>-0.04120047168505614</v>
      </c>
      <c r="O24" s="712">
        <v>155303</v>
      </c>
      <c r="P24" s="711">
        <f t="shared" si="4"/>
        <v>0.26288723489612514</v>
      </c>
      <c r="Q24" s="713">
        <f t="shared" si="5"/>
        <v>-0.10326410180902723</v>
      </c>
      <c r="R24" s="675"/>
      <c r="S24" s="714"/>
    </row>
    <row r="25" spans="1:19" s="16" customFormat="1" ht="14.25">
      <c r="A25" s="137" t="s">
        <v>53</v>
      </c>
      <c r="B25" s="152"/>
      <c r="C25" s="779" t="s">
        <v>62</v>
      </c>
      <c r="D25" s="780"/>
      <c r="E25" s="780"/>
      <c r="F25" s="780"/>
      <c r="G25" s="780"/>
      <c r="H25" s="153">
        <v>57248</v>
      </c>
      <c r="I25" s="153">
        <v>51000</v>
      </c>
      <c r="J25" s="709">
        <f t="shared" si="1"/>
        <v>0.0026412865613618516</v>
      </c>
      <c r="K25" s="710">
        <f t="shared" si="2"/>
        <v>-0.10913918390162103</v>
      </c>
      <c r="L25" s="153">
        <v>48000</v>
      </c>
      <c r="M25" s="711">
        <f t="shared" si="3"/>
        <v>0.09527628136673826</v>
      </c>
      <c r="N25" s="710">
        <f t="shared" si="0"/>
        <v>-0.05882352941176472</v>
      </c>
      <c r="O25" s="712">
        <v>48000</v>
      </c>
      <c r="P25" s="711">
        <f t="shared" si="4"/>
        <v>0.08125140708816962</v>
      </c>
      <c r="Q25" s="713">
        <f t="shared" si="5"/>
        <v>0</v>
      </c>
      <c r="R25" s="714"/>
      <c r="S25" s="675"/>
    </row>
    <row r="26" spans="1:19" s="16" customFormat="1" ht="14.25">
      <c r="A26" s="137"/>
      <c r="B26" s="152" t="s">
        <v>60</v>
      </c>
      <c r="C26" s="779" t="s">
        <v>63</v>
      </c>
      <c r="D26" s="780"/>
      <c r="E26" s="780"/>
      <c r="F26" s="780"/>
      <c r="G26" s="780"/>
      <c r="H26" s="153">
        <f>3500-245</f>
        <v>3255</v>
      </c>
      <c r="I26" s="153">
        <v>3038</v>
      </c>
      <c r="J26" s="709">
        <f t="shared" si="1"/>
        <v>0.00015733781516504518</v>
      </c>
      <c r="K26" s="710">
        <f t="shared" si="2"/>
        <v>-0.06666666666666665</v>
      </c>
      <c r="L26" s="153">
        <v>2543</v>
      </c>
      <c r="M26" s="711">
        <f t="shared" si="3"/>
        <v>0.005047657989908654</v>
      </c>
      <c r="N26" s="710">
        <f t="shared" si="0"/>
        <v>-0.16293614219881503</v>
      </c>
      <c r="O26" s="712">
        <v>2543</v>
      </c>
      <c r="P26" s="711">
        <f t="shared" si="4"/>
        <v>0.00430463183802532</v>
      </c>
      <c r="Q26" s="713">
        <f t="shared" si="5"/>
        <v>0</v>
      </c>
      <c r="R26" s="714"/>
      <c r="S26" s="675"/>
    </row>
    <row r="27" spans="1:19" s="16" customFormat="1" ht="14.25">
      <c r="A27" s="137" t="s">
        <v>53</v>
      </c>
      <c r="B27" s="152"/>
      <c r="C27" s="779" t="s">
        <v>64</v>
      </c>
      <c r="D27" s="780"/>
      <c r="E27" s="780"/>
      <c r="F27" s="780"/>
      <c r="G27" s="780"/>
      <c r="H27" s="153">
        <v>903679</v>
      </c>
      <c r="I27" s="153">
        <v>835310</v>
      </c>
      <c r="J27" s="709">
        <f t="shared" si="1"/>
        <v>0.043260648579826824</v>
      </c>
      <c r="K27" s="710">
        <f t="shared" si="2"/>
        <v>-0.07565628945676506</v>
      </c>
      <c r="L27" s="153">
        <v>835259</v>
      </c>
      <c r="M27" s="711">
        <f t="shared" si="3"/>
        <v>1.6579244062104257</v>
      </c>
      <c r="N27" s="710">
        <f t="shared" si="0"/>
        <v>-6.105517711985087E-05</v>
      </c>
      <c r="O27" s="712">
        <v>816497</v>
      </c>
      <c r="P27" s="711">
        <f t="shared" si="4"/>
        <v>1.3821152111097756</v>
      </c>
      <c r="Q27" s="713">
        <f t="shared" si="5"/>
        <v>-0.02246249366962827</v>
      </c>
      <c r="R27" s="675"/>
      <c r="S27" s="675"/>
    </row>
    <row r="28" spans="1:19" s="16" customFormat="1" ht="15" thickBot="1">
      <c r="A28" s="141"/>
      <c r="B28" s="154" t="s">
        <v>60</v>
      </c>
      <c r="C28" s="773" t="s">
        <v>65</v>
      </c>
      <c r="D28" s="774"/>
      <c r="E28" s="774"/>
      <c r="F28" s="774"/>
      <c r="G28" s="774"/>
      <c r="H28" s="155">
        <v>66622</v>
      </c>
      <c r="I28" s="155">
        <v>57282</v>
      </c>
      <c r="J28" s="715">
        <f t="shared" si="1"/>
        <v>0.0029666309178025406</v>
      </c>
      <c r="K28" s="689">
        <f t="shared" si="2"/>
        <v>-0.14019392993305513</v>
      </c>
      <c r="L28" s="155">
        <v>57333</v>
      </c>
      <c r="M28" s="716">
        <f t="shared" si="3"/>
        <v>0.11380156332498342</v>
      </c>
      <c r="N28" s="689">
        <f t="shared" si="0"/>
        <v>0.0008903320414790361</v>
      </c>
      <c r="O28" s="717">
        <v>56474</v>
      </c>
      <c r="P28" s="716">
        <f t="shared" si="4"/>
        <v>0.09559566591452691</v>
      </c>
      <c r="Q28" s="718">
        <f t="shared" si="5"/>
        <v>-0.014982645247937465</v>
      </c>
      <c r="R28" s="675"/>
      <c r="S28" s="714"/>
    </row>
    <row r="29" spans="1:19" s="148" customFormat="1" ht="15.75" thickBot="1">
      <c r="A29" s="144"/>
      <c r="B29" s="145"/>
      <c r="C29" s="775" t="s">
        <v>66</v>
      </c>
      <c r="D29" s="776"/>
      <c r="E29" s="776"/>
      <c r="F29" s="776"/>
      <c r="G29" s="776"/>
      <c r="H29" s="146">
        <f>SUM(H23:H28)</f>
        <v>2283599</v>
      </c>
      <c r="I29" s="146">
        <f>SUM(I23:I28)</f>
        <v>2126080</v>
      </c>
      <c r="J29" s="692">
        <f t="shared" si="1"/>
        <v>0.11010953985059226</v>
      </c>
      <c r="K29" s="693">
        <f t="shared" si="2"/>
        <v>-0.06897839769591774</v>
      </c>
      <c r="L29" s="146">
        <f>SUM(L23:L28)</f>
        <v>2200372</v>
      </c>
      <c r="M29" s="694">
        <f t="shared" si="3"/>
        <v>4.367567953822762</v>
      </c>
      <c r="N29" s="695">
        <f t="shared" si="0"/>
        <v>0.03494318181818179</v>
      </c>
      <c r="O29" s="696">
        <f>SUM(O23:O28)</f>
        <v>2171507</v>
      </c>
      <c r="P29" s="694">
        <f t="shared" si="4"/>
        <v>3.6757916510793742</v>
      </c>
      <c r="Q29" s="697">
        <f t="shared" si="5"/>
        <v>-0.013118236370940894</v>
      </c>
      <c r="R29" s="147"/>
      <c r="S29" s="675"/>
    </row>
    <row r="30" spans="1:17" s="16" customFormat="1" ht="14.25">
      <c r="A30" s="128"/>
      <c r="B30" s="129"/>
      <c r="C30" s="130"/>
      <c r="D30" s="13"/>
      <c r="E30" s="13"/>
      <c r="F30" s="13"/>
      <c r="G30" s="13"/>
      <c r="H30" s="149"/>
      <c r="I30" s="149"/>
      <c r="J30" s="698"/>
      <c r="K30" s="698"/>
      <c r="L30" s="149"/>
      <c r="M30" s="698"/>
      <c r="N30" s="702"/>
      <c r="O30" s="700"/>
      <c r="P30" s="698"/>
      <c r="Q30" s="703"/>
    </row>
    <row r="31" spans="1:17" s="16" customFormat="1" ht="15.75" thickBot="1">
      <c r="A31" s="128"/>
      <c r="B31" s="129"/>
      <c r="C31" s="132" t="s">
        <v>67</v>
      </c>
      <c r="D31" s="13"/>
      <c r="E31" s="13"/>
      <c r="F31" s="13"/>
      <c r="G31" s="13"/>
      <c r="H31" s="149"/>
      <c r="I31" s="149"/>
      <c r="J31" s="702"/>
      <c r="K31" s="702"/>
      <c r="L31" s="149"/>
      <c r="M31" s="702"/>
      <c r="N31" s="702"/>
      <c r="O31" s="700"/>
      <c r="P31" s="702"/>
      <c r="Q31" s="703"/>
    </row>
    <row r="32" spans="1:18" s="136" customFormat="1" ht="14.25">
      <c r="A32" s="133"/>
      <c r="B32" s="134" t="s">
        <v>60</v>
      </c>
      <c r="C32" s="777" t="s">
        <v>68</v>
      </c>
      <c r="D32" s="778"/>
      <c r="E32" s="778"/>
      <c r="F32" s="778"/>
      <c r="G32" s="778"/>
      <c r="H32" s="151">
        <v>319638</v>
      </c>
      <c r="I32" s="151">
        <v>287548</v>
      </c>
      <c r="J32" s="704">
        <f>I32/$I$59</f>
        <v>0.014892091532283876</v>
      </c>
      <c r="K32" s="705">
        <f>I32/H32-1</f>
        <v>-0.10039482164198255</v>
      </c>
      <c r="L32" s="151">
        <v>201284</v>
      </c>
      <c r="M32" s="706">
        <f>L32/$L$58</f>
        <v>0.399533146221303</v>
      </c>
      <c r="N32" s="705">
        <f t="shared" si="0"/>
        <v>-0.29999860892790076</v>
      </c>
      <c r="O32" s="719">
        <v>2000</v>
      </c>
      <c r="P32" s="706">
        <f>O32/$O$58</f>
        <v>0.003385475295340401</v>
      </c>
      <c r="Q32" s="720">
        <f>O32/L32-1</f>
        <v>-0.9900637904652133</v>
      </c>
      <c r="R32" s="156"/>
    </row>
    <row r="33" spans="1:17" s="16" customFormat="1" ht="14.25">
      <c r="A33" s="157" t="s">
        <v>53</v>
      </c>
      <c r="B33" s="158" t="s">
        <v>60</v>
      </c>
      <c r="C33" s="779" t="s">
        <v>69</v>
      </c>
      <c r="D33" s="780"/>
      <c r="E33" s="780"/>
      <c r="F33" s="780"/>
      <c r="G33" s="780"/>
      <c r="H33" s="153">
        <v>1083213</v>
      </c>
      <c r="I33" s="153">
        <v>974734</v>
      </c>
      <c r="J33" s="709">
        <f>I33/$I$59</f>
        <v>0.05048140813926437</v>
      </c>
      <c r="K33" s="710">
        <f>I33/H33-1</f>
        <v>-0.10014558540194773</v>
      </c>
      <c r="L33" s="153">
        <f>SUM(L34:L35)</f>
        <v>999734</v>
      </c>
      <c r="M33" s="711">
        <f>L33/$L$58</f>
        <v>1.9843945390811397</v>
      </c>
      <c r="N33" s="710">
        <f t="shared" si="0"/>
        <v>0.02564802294779911</v>
      </c>
      <c r="O33" s="712">
        <f>SUM(O34:O35)</f>
        <v>1150000</v>
      </c>
      <c r="P33" s="711">
        <f>O33/$O$58</f>
        <v>1.9466482948207307</v>
      </c>
      <c r="Q33" s="721">
        <f>O33/L33-1</f>
        <v>0.15030598139105011</v>
      </c>
    </row>
    <row r="34" spans="1:17" s="136" customFormat="1" ht="14.25">
      <c r="A34" s="137"/>
      <c r="B34" s="152" t="s">
        <v>53</v>
      </c>
      <c r="C34" s="158" t="s">
        <v>70</v>
      </c>
      <c r="D34" s="159" t="s">
        <v>71</v>
      </c>
      <c r="E34" s="129"/>
      <c r="F34" s="129"/>
      <c r="G34" s="129"/>
      <c r="H34" s="160">
        <v>792299</v>
      </c>
      <c r="I34" s="160">
        <v>792299</v>
      </c>
      <c r="J34" s="709">
        <f>I34/$I$59</f>
        <v>0.04103311178981242</v>
      </c>
      <c r="K34" s="710">
        <f>I34/H34-1</f>
        <v>0</v>
      </c>
      <c r="L34" s="160">
        <f>I34</f>
        <v>792299</v>
      </c>
      <c r="M34" s="711">
        <f>L34/$L$58</f>
        <v>1.5726521343871949</v>
      </c>
      <c r="N34" s="710">
        <f t="shared" si="0"/>
        <v>0</v>
      </c>
      <c r="O34" s="722">
        <v>1035002</v>
      </c>
      <c r="P34" s="711">
        <f>O34/$O$58</f>
        <v>1.751986850813953</v>
      </c>
      <c r="Q34" s="721">
        <f>O34/L34-1</f>
        <v>0.30632753543801017</v>
      </c>
    </row>
    <row r="35" spans="1:18" s="136" customFormat="1" ht="14.25">
      <c r="A35" s="137"/>
      <c r="B35" s="152" t="s">
        <v>60</v>
      </c>
      <c r="C35" s="161"/>
      <c r="D35" s="162" t="s">
        <v>72</v>
      </c>
      <c r="E35" s="163"/>
      <c r="F35" s="163"/>
      <c r="G35" s="163"/>
      <c r="H35" s="164">
        <v>290914</v>
      </c>
      <c r="I35" s="165">
        <v>182435</v>
      </c>
      <c r="J35" s="709">
        <f>I35/$I$59</f>
        <v>0.009448296349451948</v>
      </c>
      <c r="K35" s="710">
        <f>I35/H35-1</f>
        <v>-0.37289026997669417</v>
      </c>
      <c r="L35" s="164">
        <v>207435</v>
      </c>
      <c r="M35" s="711">
        <f>L35/$L$58</f>
        <v>0.4117424046939448</v>
      </c>
      <c r="N35" s="710">
        <f t="shared" si="0"/>
        <v>0.13703510839477073</v>
      </c>
      <c r="O35" s="723">
        <v>114998</v>
      </c>
      <c r="P35" s="711">
        <f>O35/$O$58</f>
        <v>0.19466144400677773</v>
      </c>
      <c r="Q35" s="721">
        <f>O35/L35-1</f>
        <v>-0.4456191096005978</v>
      </c>
      <c r="R35" s="675"/>
    </row>
    <row r="36" spans="1:18" s="148" customFormat="1" ht="15.75" thickBot="1">
      <c r="A36" s="144"/>
      <c r="B36" s="145"/>
      <c r="C36" s="781" t="s">
        <v>73</v>
      </c>
      <c r="D36" s="782"/>
      <c r="E36" s="782"/>
      <c r="F36" s="782"/>
      <c r="G36" s="782"/>
      <c r="H36" s="146">
        <f>SUM(H32:H33)</f>
        <v>1402851</v>
      </c>
      <c r="I36" s="146">
        <f>SUM(I32:I33)</f>
        <v>1262282</v>
      </c>
      <c r="J36" s="692">
        <f>I36/$I$59</f>
        <v>0.06537349967154825</v>
      </c>
      <c r="K36" s="693">
        <f>I36/H36-1</f>
        <v>-0.1002023735949149</v>
      </c>
      <c r="L36" s="146">
        <f>SUM(L32:L33)</f>
        <v>1201018</v>
      </c>
      <c r="M36" s="694">
        <f>L36/$L$58</f>
        <v>2.3839276853024427</v>
      </c>
      <c r="N36" s="695">
        <f t="shared" si="0"/>
        <v>-0.04853432117387402</v>
      </c>
      <c r="O36" s="696">
        <f>SUM(O32:O33)</f>
        <v>1152000</v>
      </c>
      <c r="P36" s="694">
        <f>O36/$O$58</f>
        <v>1.950033770116071</v>
      </c>
      <c r="Q36" s="697">
        <f>O36/L36-1</f>
        <v>-0.0408137097029353</v>
      </c>
      <c r="R36" s="147"/>
    </row>
    <row r="37" spans="1:17" s="16" customFormat="1" ht="14.25">
      <c r="A37" s="128"/>
      <c r="B37" s="129"/>
      <c r="C37" s="130"/>
      <c r="D37" s="13"/>
      <c r="E37" s="13"/>
      <c r="F37" s="13"/>
      <c r="G37" s="13"/>
      <c r="H37" s="149"/>
      <c r="I37" s="149"/>
      <c r="J37" s="698"/>
      <c r="K37" s="698"/>
      <c r="L37" s="149"/>
      <c r="M37" s="698"/>
      <c r="N37" s="702"/>
      <c r="O37" s="700"/>
      <c r="P37" s="698"/>
      <c r="Q37" s="703"/>
    </row>
    <row r="38" spans="1:17" s="16" customFormat="1" ht="15.75" thickBot="1">
      <c r="A38" s="166"/>
      <c r="B38" s="167"/>
      <c r="C38" s="132" t="s">
        <v>74</v>
      </c>
      <c r="D38" s="13"/>
      <c r="E38" s="13"/>
      <c r="F38" s="13"/>
      <c r="G38" s="13"/>
      <c r="H38" s="149"/>
      <c r="I38" s="149"/>
      <c r="J38" s="702"/>
      <c r="K38" s="702"/>
      <c r="L38" s="149"/>
      <c r="M38" s="702"/>
      <c r="N38" s="702"/>
      <c r="O38" s="700"/>
      <c r="P38" s="702"/>
      <c r="Q38" s="703"/>
    </row>
    <row r="39" spans="1:17" s="16" customFormat="1" ht="15" thickBot="1">
      <c r="A39" s="168" t="s">
        <v>53</v>
      </c>
      <c r="B39" s="169" t="s">
        <v>60</v>
      </c>
      <c r="C39" s="170" t="s">
        <v>75</v>
      </c>
      <c r="D39" s="171"/>
      <c r="E39" s="171"/>
      <c r="F39" s="171"/>
      <c r="G39" s="171"/>
      <c r="H39" s="172">
        <f>SUM(H40:H47)</f>
        <v>310082</v>
      </c>
      <c r="I39" s="172">
        <f>SUM(I40:I47)</f>
        <v>292180</v>
      </c>
      <c r="J39" s="724">
        <f aca="true" t="shared" si="6" ref="J39:J48">I39/$I$59</f>
        <v>0.015131982499974623</v>
      </c>
      <c r="K39" s="725">
        <f aca="true" t="shared" si="7" ref="K39:K45">I39/H39-1</f>
        <v>-0.05773311575647733</v>
      </c>
      <c r="L39" s="172">
        <f>SUM(L40:L47)</f>
        <v>353797</v>
      </c>
      <c r="M39" s="726">
        <f aca="true" t="shared" si="8" ref="M39:M48">L39/$L$58</f>
        <v>0.7022596358064145</v>
      </c>
      <c r="N39" s="725">
        <f t="shared" si="0"/>
        <v>0.21088712437538493</v>
      </c>
      <c r="O39" s="727">
        <f>SUM(O40:O47)</f>
        <v>356223</v>
      </c>
      <c r="P39" s="726">
        <f aca="true" t="shared" si="9" ref="P39:P48">O39/$O$58</f>
        <v>0.6029920830660218</v>
      </c>
      <c r="Q39" s="728">
        <f aca="true" t="shared" si="10" ref="Q39:Q45">O39/L39-1</f>
        <v>0.006857039488746386</v>
      </c>
    </row>
    <row r="40" spans="1:17" s="136" customFormat="1" ht="14.25">
      <c r="A40" s="173"/>
      <c r="B40" s="174"/>
      <c r="C40" s="175" t="s">
        <v>76</v>
      </c>
      <c r="D40" s="176" t="s">
        <v>77</v>
      </c>
      <c r="E40" s="177"/>
      <c r="F40" s="177"/>
      <c r="G40" s="177"/>
      <c r="H40" s="178">
        <v>4500</v>
      </c>
      <c r="I40" s="178">
        <v>4500</v>
      </c>
      <c r="J40" s="704">
        <f t="shared" si="6"/>
        <v>0.00023305469659075162</v>
      </c>
      <c r="K40" s="705">
        <f t="shared" si="7"/>
        <v>0</v>
      </c>
      <c r="L40" s="178">
        <v>4500</v>
      </c>
      <c r="M40" s="706">
        <f t="shared" si="8"/>
        <v>0.008932151378131711</v>
      </c>
      <c r="N40" s="729">
        <f t="shared" si="0"/>
        <v>0</v>
      </c>
      <c r="O40" s="730">
        <v>4500</v>
      </c>
      <c r="P40" s="706">
        <f t="shared" si="9"/>
        <v>0.0076173194145159025</v>
      </c>
      <c r="Q40" s="731">
        <f t="shared" si="10"/>
        <v>0</v>
      </c>
    </row>
    <row r="41" spans="1:17" s="136" customFormat="1" ht="14.25">
      <c r="A41" s="173"/>
      <c r="B41" s="179"/>
      <c r="C41" s="180"/>
      <c r="D41" s="162" t="s">
        <v>78</v>
      </c>
      <c r="E41" s="163"/>
      <c r="F41" s="163"/>
      <c r="G41" s="163"/>
      <c r="H41" s="153">
        <v>10000</v>
      </c>
      <c r="I41" s="181">
        <v>10000</v>
      </c>
      <c r="J41" s="709">
        <f t="shared" si="6"/>
        <v>0.0005178993257572258</v>
      </c>
      <c r="K41" s="710">
        <f t="shared" si="7"/>
        <v>0</v>
      </c>
      <c r="L41" s="153">
        <v>10000</v>
      </c>
      <c r="M41" s="711">
        <f t="shared" si="8"/>
        <v>0.019849225284737138</v>
      </c>
      <c r="N41" s="710">
        <f t="shared" si="0"/>
        <v>0</v>
      </c>
      <c r="O41" s="712">
        <v>10000</v>
      </c>
      <c r="P41" s="711">
        <f t="shared" si="9"/>
        <v>0.016927376476702005</v>
      </c>
      <c r="Q41" s="721">
        <f t="shared" si="10"/>
        <v>0</v>
      </c>
    </row>
    <row r="42" spans="1:18" s="136" customFormat="1" ht="14.25">
      <c r="A42" s="173"/>
      <c r="B42" s="179"/>
      <c r="C42" s="180"/>
      <c r="D42" s="179" t="s">
        <v>79</v>
      </c>
      <c r="E42" s="182"/>
      <c r="F42" s="182"/>
      <c r="G42" s="182"/>
      <c r="H42" s="153">
        <v>272000</v>
      </c>
      <c r="I42" s="181">
        <v>253883</v>
      </c>
      <c r="J42" s="709">
        <f t="shared" si="6"/>
        <v>0.013148583452122175</v>
      </c>
      <c r="K42" s="710">
        <f t="shared" si="7"/>
        <v>-0.06660661764705877</v>
      </c>
      <c r="L42" s="153">
        <v>310000</v>
      </c>
      <c r="M42" s="711">
        <f t="shared" si="8"/>
        <v>0.6153259838268512</v>
      </c>
      <c r="N42" s="710">
        <f t="shared" si="0"/>
        <v>0.221034886148344</v>
      </c>
      <c r="O42" s="712">
        <v>310000</v>
      </c>
      <c r="P42" s="711">
        <f t="shared" si="9"/>
        <v>0.5247486707777622</v>
      </c>
      <c r="Q42" s="721">
        <f t="shared" si="10"/>
        <v>0</v>
      </c>
      <c r="R42" s="156"/>
    </row>
    <row r="43" spans="1:17" s="136" customFormat="1" ht="14.25">
      <c r="A43" s="183"/>
      <c r="B43" s="179"/>
      <c r="C43" s="180"/>
      <c r="D43" s="179" t="s">
        <v>80</v>
      </c>
      <c r="E43" s="182"/>
      <c r="F43" s="182"/>
      <c r="G43" s="182"/>
      <c r="H43" s="153">
        <v>9182</v>
      </c>
      <c r="I43" s="153">
        <v>9397</v>
      </c>
      <c r="J43" s="709">
        <f t="shared" si="6"/>
        <v>0.0004866699964140651</v>
      </c>
      <c r="K43" s="710">
        <f t="shared" si="7"/>
        <v>0.02341537791330861</v>
      </c>
      <c r="L43" s="153">
        <v>9397</v>
      </c>
      <c r="M43" s="711">
        <f t="shared" si="8"/>
        <v>0.018652317000067486</v>
      </c>
      <c r="N43" s="710">
        <f t="shared" si="0"/>
        <v>0</v>
      </c>
      <c r="O43" s="712">
        <v>10823</v>
      </c>
      <c r="P43" s="711">
        <f t="shared" si="9"/>
        <v>0.01832049956073458</v>
      </c>
      <c r="Q43" s="721">
        <f t="shared" si="10"/>
        <v>0.15175055868894338</v>
      </c>
    </row>
    <row r="44" spans="1:17" s="136" customFormat="1" ht="14.25">
      <c r="A44" s="173"/>
      <c r="B44" s="179"/>
      <c r="C44" s="180"/>
      <c r="D44" s="179" t="s">
        <v>81</v>
      </c>
      <c r="E44" s="182"/>
      <c r="F44" s="182"/>
      <c r="G44" s="182"/>
      <c r="H44" s="153">
        <v>13500</v>
      </c>
      <c r="I44" s="153">
        <v>13500</v>
      </c>
      <c r="J44" s="709">
        <f t="shared" si="6"/>
        <v>0.0006991640897722548</v>
      </c>
      <c r="K44" s="710">
        <f t="shared" si="7"/>
        <v>0</v>
      </c>
      <c r="L44" s="153">
        <v>13500</v>
      </c>
      <c r="M44" s="711">
        <f t="shared" si="8"/>
        <v>0.026796454134395135</v>
      </c>
      <c r="N44" s="710">
        <f t="shared" si="0"/>
        <v>0</v>
      </c>
      <c r="O44" s="712">
        <v>14500</v>
      </c>
      <c r="P44" s="711">
        <f t="shared" si="9"/>
        <v>0.024544695891217907</v>
      </c>
      <c r="Q44" s="721">
        <f t="shared" si="10"/>
        <v>0.07407407407407418</v>
      </c>
    </row>
    <row r="45" spans="1:17" s="136" customFormat="1" ht="14.25">
      <c r="A45" s="173"/>
      <c r="B45" s="179"/>
      <c r="C45" s="180"/>
      <c r="D45" s="179" t="s">
        <v>82</v>
      </c>
      <c r="E45" s="182"/>
      <c r="F45" s="182"/>
      <c r="G45" s="182"/>
      <c r="H45" s="153">
        <v>900</v>
      </c>
      <c r="I45" s="153">
        <v>900</v>
      </c>
      <c r="J45" s="709">
        <f t="shared" si="6"/>
        <v>4.661093931815032E-05</v>
      </c>
      <c r="K45" s="710">
        <f t="shared" si="7"/>
        <v>0</v>
      </c>
      <c r="L45" s="153">
        <v>6400</v>
      </c>
      <c r="M45" s="711">
        <f t="shared" si="8"/>
        <v>0.012703504182231767</v>
      </c>
      <c r="N45" s="710">
        <f t="shared" si="0"/>
        <v>6.111111111111111</v>
      </c>
      <c r="O45" s="712">
        <v>6400</v>
      </c>
      <c r="P45" s="711">
        <f t="shared" si="9"/>
        <v>0.010833520945089284</v>
      </c>
      <c r="Q45" s="721">
        <f t="shared" si="10"/>
        <v>0</v>
      </c>
    </row>
    <row r="46" spans="1:17" s="136" customFormat="1" ht="14.25">
      <c r="A46" s="184"/>
      <c r="B46" s="185"/>
      <c r="C46" s="180"/>
      <c r="D46" s="186" t="s">
        <v>83</v>
      </c>
      <c r="E46" s="187"/>
      <c r="F46" s="187"/>
      <c r="G46" s="187"/>
      <c r="H46" s="153">
        <v>0</v>
      </c>
      <c r="I46" s="153">
        <v>0</v>
      </c>
      <c r="J46" s="709">
        <f t="shared" si="6"/>
        <v>0</v>
      </c>
      <c r="K46" s="710"/>
      <c r="L46" s="153">
        <v>0</v>
      </c>
      <c r="M46" s="711">
        <f t="shared" si="8"/>
        <v>0</v>
      </c>
      <c r="N46" s="710"/>
      <c r="O46" s="712">
        <v>0</v>
      </c>
      <c r="P46" s="711">
        <f t="shared" si="9"/>
        <v>0</v>
      </c>
      <c r="Q46" s="721"/>
    </row>
    <row r="47" spans="1:17" s="136" customFormat="1" ht="15" thickBot="1">
      <c r="A47" s="184"/>
      <c r="B47" s="185"/>
      <c r="C47" s="188"/>
      <c r="D47" s="189" t="s">
        <v>84</v>
      </c>
      <c r="E47" s="187"/>
      <c r="F47" s="187"/>
      <c r="G47" s="187"/>
      <c r="H47" s="190">
        <v>0</v>
      </c>
      <c r="I47" s="190">
        <v>0</v>
      </c>
      <c r="J47" s="732">
        <f t="shared" si="6"/>
        <v>0</v>
      </c>
      <c r="K47" s="733"/>
      <c r="L47" s="190">
        <v>0</v>
      </c>
      <c r="M47" s="734">
        <f t="shared" si="8"/>
        <v>0</v>
      </c>
      <c r="N47" s="733"/>
      <c r="O47" s="735">
        <v>0</v>
      </c>
      <c r="P47" s="734">
        <f t="shared" si="9"/>
        <v>0</v>
      </c>
      <c r="Q47" s="736"/>
    </row>
    <row r="48" spans="1:17" s="16" customFormat="1" ht="15" thickBot="1">
      <c r="A48" s="191"/>
      <c r="B48" s="192"/>
      <c r="C48" s="170" t="s">
        <v>85</v>
      </c>
      <c r="D48" s="171"/>
      <c r="E48" s="171"/>
      <c r="F48" s="171"/>
      <c r="G48" s="171"/>
      <c r="H48" s="193">
        <f>SUM(H49:H57)</f>
        <v>91500</v>
      </c>
      <c r="I48" s="193">
        <f>SUM(I49:I57)</f>
        <v>150000</v>
      </c>
      <c r="J48" s="724">
        <f t="shared" si="6"/>
        <v>0.007768489886358387</v>
      </c>
      <c r="K48" s="725">
        <f>I48/H48-1</f>
        <v>0.639344262295082</v>
      </c>
      <c r="L48" s="193">
        <f>SUM(L49:L57)</f>
        <v>150001</v>
      </c>
      <c r="M48" s="726">
        <f t="shared" si="8"/>
        <v>0.2977403641935855</v>
      </c>
      <c r="N48" s="725">
        <f t="shared" si="0"/>
        <v>6.666666666710341E-06</v>
      </c>
      <c r="O48" s="737">
        <f>SUM(O49:O57)</f>
        <v>234536</v>
      </c>
      <c r="P48" s="726">
        <f t="shared" si="9"/>
        <v>0.39700791693397813</v>
      </c>
      <c r="Q48" s="728">
        <f>O48/L48-1</f>
        <v>0.5635629095806027</v>
      </c>
    </row>
    <row r="49" spans="1:17" s="136" customFormat="1" ht="14.25">
      <c r="A49" s="133" t="s">
        <v>53</v>
      </c>
      <c r="B49" s="176" t="s">
        <v>60</v>
      </c>
      <c r="C49" s="175" t="s">
        <v>76</v>
      </c>
      <c r="D49" s="194" t="s">
        <v>86</v>
      </c>
      <c r="E49" s="195"/>
      <c r="F49" s="195"/>
      <c r="G49" s="195"/>
      <c r="H49" s="196"/>
      <c r="I49" s="196"/>
      <c r="J49" s="738"/>
      <c r="K49" s="739"/>
      <c r="L49" s="196"/>
      <c r="M49" s="740"/>
      <c r="N49" s="739"/>
      <c r="O49" s="719"/>
      <c r="P49" s="740"/>
      <c r="Q49" s="720"/>
    </row>
    <row r="50" spans="1:17" s="136" customFormat="1" ht="14.25">
      <c r="A50" s="137"/>
      <c r="B50" s="159"/>
      <c r="C50" s="180"/>
      <c r="D50" s="158" t="s">
        <v>70</v>
      </c>
      <c r="E50" s="179" t="s">
        <v>87</v>
      </c>
      <c r="F50" s="197"/>
      <c r="G50" s="197"/>
      <c r="H50" s="198">
        <v>0</v>
      </c>
      <c r="I50" s="198">
        <v>40000</v>
      </c>
      <c r="J50" s="741">
        <f aca="true" t="shared" si="11" ref="J50:J55">I50/$I$59</f>
        <v>0.0020715973030289033</v>
      </c>
      <c r="K50" s="742"/>
      <c r="L50" s="198">
        <v>44593</v>
      </c>
      <c r="M50" s="743">
        <f aca="true" t="shared" si="12" ref="M50:M56">L50/$L$58</f>
        <v>0.08851365031222831</v>
      </c>
      <c r="N50" s="742">
        <f>L50/I50-1</f>
        <v>0.11482499999999995</v>
      </c>
      <c r="O50" s="712">
        <v>46600</v>
      </c>
      <c r="P50" s="743">
        <f aca="true" t="shared" si="13" ref="P50:P60">O50/$O$58</f>
        <v>0.07888157438143134</v>
      </c>
      <c r="Q50" s="721">
        <f>O50/L50-1</f>
        <v>0.04500706388895126</v>
      </c>
    </row>
    <row r="51" spans="1:17" s="136" customFormat="1" ht="14.25">
      <c r="A51" s="199"/>
      <c r="B51" s="159"/>
      <c r="C51" s="180"/>
      <c r="D51" s="180"/>
      <c r="E51" s="179" t="s">
        <v>88</v>
      </c>
      <c r="F51" s="197"/>
      <c r="G51" s="197"/>
      <c r="H51" s="198">
        <v>3500</v>
      </c>
      <c r="I51" s="198">
        <v>19000</v>
      </c>
      <c r="J51" s="741">
        <f t="shared" si="11"/>
        <v>0.000984008718938729</v>
      </c>
      <c r="K51" s="742">
        <f>I51/H51-1</f>
        <v>4.428571428571429</v>
      </c>
      <c r="L51" s="198">
        <v>22000</v>
      </c>
      <c r="M51" s="743">
        <f t="shared" si="12"/>
        <v>0.0436682956264217</v>
      </c>
      <c r="N51" s="742">
        <f>L51/I51-1</f>
        <v>0.1578947368421053</v>
      </c>
      <c r="O51" s="712">
        <v>22000</v>
      </c>
      <c r="P51" s="743">
        <f t="shared" si="13"/>
        <v>0.037240228248744414</v>
      </c>
      <c r="Q51" s="721">
        <f>O51/L51-1</f>
        <v>0</v>
      </c>
    </row>
    <row r="52" spans="1:17" s="136" customFormat="1" ht="14.25">
      <c r="A52" s="199"/>
      <c r="B52" s="159"/>
      <c r="C52" s="180"/>
      <c r="D52" s="180"/>
      <c r="E52" s="197" t="s">
        <v>89</v>
      </c>
      <c r="F52" s="197"/>
      <c r="G52" s="200"/>
      <c r="H52" s="201">
        <v>0</v>
      </c>
      <c r="I52" s="201">
        <v>0</v>
      </c>
      <c r="J52" s="744">
        <f t="shared" si="11"/>
        <v>0</v>
      </c>
      <c r="K52" s="745"/>
      <c r="L52" s="201">
        <v>15000</v>
      </c>
      <c r="M52" s="746">
        <f t="shared" si="12"/>
        <v>0.029773837927105706</v>
      </c>
      <c r="N52" s="742">
        <v>1</v>
      </c>
      <c r="O52" s="730">
        <v>15000</v>
      </c>
      <c r="P52" s="746">
        <f t="shared" si="13"/>
        <v>0.025391064715053008</v>
      </c>
      <c r="Q52" s="721">
        <f>O52/L52-1</f>
        <v>0</v>
      </c>
    </row>
    <row r="53" spans="1:17" s="136" customFormat="1" ht="14.25">
      <c r="A53" s="199"/>
      <c r="B53" s="159"/>
      <c r="C53" s="180"/>
      <c r="D53" s="180"/>
      <c r="E53" s="197" t="s">
        <v>90</v>
      </c>
      <c r="F53" s="197"/>
      <c r="G53" s="197"/>
      <c r="H53" s="201">
        <v>0</v>
      </c>
      <c r="I53" s="201">
        <v>0</v>
      </c>
      <c r="J53" s="744">
        <f t="shared" si="11"/>
        <v>0</v>
      </c>
      <c r="K53" s="745">
        <v>0</v>
      </c>
      <c r="L53" s="201">
        <v>0</v>
      </c>
      <c r="M53" s="746">
        <f t="shared" si="12"/>
        <v>0</v>
      </c>
      <c r="N53" s="742">
        <v>0</v>
      </c>
      <c r="O53" s="730">
        <v>50000</v>
      </c>
      <c r="P53" s="746">
        <f t="shared" si="13"/>
        <v>0.08463688238351003</v>
      </c>
      <c r="Q53" s="721">
        <v>1</v>
      </c>
    </row>
    <row r="54" spans="1:17" s="136" customFormat="1" ht="14.25">
      <c r="A54" s="199"/>
      <c r="B54" s="159"/>
      <c r="C54" s="180"/>
      <c r="D54" s="180"/>
      <c r="E54" s="179" t="s">
        <v>91</v>
      </c>
      <c r="F54" s="197"/>
      <c r="G54" s="197"/>
      <c r="H54" s="198">
        <v>10000</v>
      </c>
      <c r="I54" s="198">
        <v>10000</v>
      </c>
      <c r="J54" s="741">
        <f t="shared" si="11"/>
        <v>0.0005178993257572258</v>
      </c>
      <c r="K54" s="742">
        <f>I54/H54-1</f>
        <v>0</v>
      </c>
      <c r="L54" s="198">
        <v>10000</v>
      </c>
      <c r="M54" s="743">
        <f t="shared" si="12"/>
        <v>0.019849225284737138</v>
      </c>
      <c r="N54" s="742">
        <f>L54/I54-1</f>
        <v>0</v>
      </c>
      <c r="O54" s="712">
        <v>10000</v>
      </c>
      <c r="P54" s="743">
        <f t="shared" si="13"/>
        <v>0.016927376476702005</v>
      </c>
      <c r="Q54" s="721">
        <f>O54/L54-1</f>
        <v>0</v>
      </c>
    </row>
    <row r="55" spans="1:17" s="136" customFormat="1" ht="14.25">
      <c r="A55" s="199"/>
      <c r="B55" s="159"/>
      <c r="C55" s="180"/>
      <c r="D55" s="180"/>
      <c r="E55" s="179" t="s">
        <v>92</v>
      </c>
      <c r="F55" s="182"/>
      <c r="G55" s="182"/>
      <c r="H55" s="198">
        <v>26000</v>
      </c>
      <c r="I55" s="198">
        <v>26000</v>
      </c>
      <c r="J55" s="741">
        <f t="shared" si="11"/>
        <v>0.001346538246968787</v>
      </c>
      <c r="K55" s="742">
        <f>I55/H55-1</f>
        <v>0</v>
      </c>
      <c r="L55" s="198">
        <v>26000</v>
      </c>
      <c r="M55" s="743">
        <f t="shared" si="12"/>
        <v>0.05160798574031655</v>
      </c>
      <c r="N55" s="742">
        <f>L55/I55-1</f>
        <v>0</v>
      </c>
      <c r="O55" s="712">
        <v>26000</v>
      </c>
      <c r="P55" s="743">
        <f t="shared" si="13"/>
        <v>0.044011178839425215</v>
      </c>
      <c r="Q55" s="721">
        <f>O55/L55-1</f>
        <v>0</v>
      </c>
    </row>
    <row r="56" spans="1:19" s="136" customFormat="1" ht="14.25">
      <c r="A56" s="199"/>
      <c r="B56" s="159"/>
      <c r="C56" s="180"/>
      <c r="D56" s="161"/>
      <c r="E56" s="182" t="s">
        <v>93</v>
      </c>
      <c r="F56" s="182"/>
      <c r="G56" s="182"/>
      <c r="H56" s="201">
        <f>25000+2000+15000</f>
        <v>42000</v>
      </c>
      <c r="I56" s="201">
        <v>15000</v>
      </c>
      <c r="J56" s="744"/>
      <c r="K56" s="745"/>
      <c r="L56" s="201">
        <f>20000+2408</f>
        <v>22408</v>
      </c>
      <c r="M56" s="746">
        <f t="shared" si="12"/>
        <v>0.04447814401803898</v>
      </c>
      <c r="N56" s="745"/>
      <c r="O56" s="730">
        <v>54936</v>
      </c>
      <c r="P56" s="743">
        <f t="shared" si="13"/>
        <v>0.09299223541241014</v>
      </c>
      <c r="Q56" s="721">
        <f>O56/L56-1</f>
        <v>1.4516244198500536</v>
      </c>
      <c r="S56" s="156"/>
    </row>
    <row r="57" spans="1:17" s="136" customFormat="1" ht="14.25">
      <c r="A57" s="199" t="s">
        <v>53</v>
      </c>
      <c r="B57" s="159" t="s">
        <v>60</v>
      </c>
      <c r="C57" s="161"/>
      <c r="D57" s="202" t="s">
        <v>94</v>
      </c>
      <c r="E57" s="197"/>
      <c r="F57" s="197"/>
      <c r="G57" s="197"/>
      <c r="H57" s="201">
        <v>10000</v>
      </c>
      <c r="I57" s="201">
        <v>40000</v>
      </c>
      <c r="J57" s="744"/>
      <c r="K57" s="745"/>
      <c r="L57" s="201">
        <v>10000</v>
      </c>
      <c r="M57" s="746"/>
      <c r="N57" s="745"/>
      <c r="O57" s="730">
        <v>10000</v>
      </c>
      <c r="P57" s="743">
        <f t="shared" si="13"/>
        <v>0.016927376476702005</v>
      </c>
      <c r="Q57" s="721">
        <f>O57/L57-1</f>
        <v>0</v>
      </c>
    </row>
    <row r="58" spans="1:18" s="148" customFormat="1" ht="15" customHeight="1" thickBot="1">
      <c r="A58" s="144"/>
      <c r="B58" s="203"/>
      <c r="C58" s="204" t="s">
        <v>95</v>
      </c>
      <c r="D58" s="205"/>
      <c r="E58" s="205"/>
      <c r="F58" s="205"/>
      <c r="G58" s="205"/>
      <c r="H58" s="146">
        <f>H39+H48</f>
        <v>401582</v>
      </c>
      <c r="I58" s="146">
        <f>I39+I48</f>
        <v>442180</v>
      </c>
      <c r="J58" s="692">
        <f>I58/$I$59</f>
        <v>0.02290047238633301</v>
      </c>
      <c r="K58" s="693">
        <f>I58/H58-1</f>
        <v>0.1010951686081547</v>
      </c>
      <c r="L58" s="146">
        <f>L39+L48</f>
        <v>503798</v>
      </c>
      <c r="M58" s="694">
        <f>L58/$L$58</f>
        <v>1</v>
      </c>
      <c r="N58" s="695">
        <f t="shared" si="0"/>
        <v>0.1393504907503731</v>
      </c>
      <c r="O58" s="696">
        <f>O39+O48</f>
        <v>590759</v>
      </c>
      <c r="P58" s="694">
        <f t="shared" si="13"/>
        <v>1</v>
      </c>
      <c r="Q58" s="697">
        <f>O58/L58-1</f>
        <v>0.1726108479986026</v>
      </c>
      <c r="R58" s="147"/>
    </row>
    <row r="59" spans="1:17" s="750" customFormat="1" ht="6.75" customHeight="1" hidden="1" thickBot="1">
      <c r="A59" s="128"/>
      <c r="B59" s="129"/>
      <c r="C59" s="13"/>
      <c r="D59" s="13"/>
      <c r="E59" s="13"/>
      <c r="F59" s="13"/>
      <c r="G59" s="13"/>
      <c r="H59" s="747"/>
      <c r="I59" s="149">
        <f>I62-I61</f>
        <v>19308772</v>
      </c>
      <c r="J59" s="702"/>
      <c r="K59" s="702"/>
      <c r="L59" s="149">
        <f>L62</f>
        <v>19808772</v>
      </c>
      <c r="M59" s="702">
        <f>L59/$L$58</f>
        <v>39.3188778041993</v>
      </c>
      <c r="N59" s="748"/>
      <c r="O59" s="700">
        <v>19907272</v>
      </c>
      <c r="P59" s="702">
        <f t="shared" si="13"/>
        <v>33.697788776810846</v>
      </c>
      <c r="Q59" s="749"/>
    </row>
    <row r="60" spans="1:17" s="147" customFormat="1" ht="22.5">
      <c r="A60" s="206"/>
      <c r="B60" s="207"/>
      <c r="C60" s="208" t="s">
        <v>96</v>
      </c>
      <c r="D60" s="209"/>
      <c r="E60" s="209"/>
      <c r="F60" s="209"/>
      <c r="G60" s="210"/>
      <c r="H60" s="211">
        <f>H20+H29+H36+H58</f>
        <v>20686641</v>
      </c>
      <c r="I60" s="211">
        <f>I20+I29+I36+I58</f>
        <v>19308772</v>
      </c>
      <c r="J60" s="751">
        <f>I60/$I$59</f>
        <v>1</v>
      </c>
      <c r="K60" s="752">
        <f>I60/H60-1</f>
        <v>-0.06660670526452317</v>
      </c>
      <c r="L60" s="211">
        <f>L20+L29+L36+L58</f>
        <v>19808772</v>
      </c>
      <c r="M60" s="753">
        <f>L60/$L$58</f>
        <v>39.3188778041993</v>
      </c>
      <c r="N60" s="754">
        <f t="shared" si="0"/>
        <v>0.025894966287861365</v>
      </c>
      <c r="O60" s="755">
        <f>O20+O29+O36+O58</f>
        <v>19907272</v>
      </c>
      <c r="P60" s="753">
        <f t="shared" si="13"/>
        <v>33.697788776810846</v>
      </c>
      <c r="Q60" s="756">
        <f>O60/L60-1</f>
        <v>0.004972544486856689</v>
      </c>
    </row>
    <row r="61" spans="1:17" s="147" customFormat="1" ht="15.75">
      <c r="A61" s="212"/>
      <c r="B61" s="213"/>
      <c r="C61" s="214" t="s">
        <v>97</v>
      </c>
      <c r="D61" s="215"/>
      <c r="E61" s="215"/>
      <c r="F61" s="215"/>
      <c r="G61" s="215"/>
      <c r="H61" s="153">
        <v>-525733</v>
      </c>
      <c r="I61" s="153">
        <v>-450000</v>
      </c>
      <c r="J61" s="709"/>
      <c r="K61" s="710"/>
      <c r="L61" s="153"/>
      <c r="M61" s="757"/>
      <c r="N61" s="758"/>
      <c r="O61" s="759"/>
      <c r="P61" s="757"/>
      <c r="Q61" s="760"/>
    </row>
    <row r="62" spans="1:17" s="148" customFormat="1" ht="15.75">
      <c r="A62" s="216"/>
      <c r="B62" s="217"/>
      <c r="C62" s="783" t="s">
        <v>98</v>
      </c>
      <c r="D62" s="784"/>
      <c r="E62" s="784"/>
      <c r="F62" s="784"/>
      <c r="G62" s="784"/>
      <c r="H62" s="218">
        <v>20160908</v>
      </c>
      <c r="I62" s="218">
        <v>18858772</v>
      </c>
      <c r="J62" s="761">
        <f>I62/$I$59</f>
        <v>0.9766945303409248</v>
      </c>
      <c r="K62" s="758">
        <f>I62/H62-1</f>
        <v>-0.06458717037942929</v>
      </c>
      <c r="L62" s="218">
        <v>19808772</v>
      </c>
      <c r="M62" s="757">
        <f>L62/$L$58</f>
        <v>39.3188778041993</v>
      </c>
      <c r="N62" s="762">
        <f t="shared" si="0"/>
        <v>0.05037443583283152</v>
      </c>
      <c r="O62" s="763">
        <f>19808772+98500</f>
        <v>19907272</v>
      </c>
      <c r="P62" s="757">
        <f>O62/$O$58</f>
        <v>33.697788776810846</v>
      </c>
      <c r="Q62" s="764">
        <f>O62/L62-1</f>
        <v>0.004972544486856689</v>
      </c>
    </row>
    <row r="63" spans="1:17" s="148" customFormat="1" ht="16.5" thickBot="1">
      <c r="A63" s="219"/>
      <c r="B63" s="220"/>
      <c r="C63" s="771" t="s">
        <v>99</v>
      </c>
      <c r="D63" s="772"/>
      <c r="E63" s="772"/>
      <c r="F63" s="772"/>
      <c r="G63" s="772"/>
      <c r="H63" s="221">
        <f>H62-H60-H61</f>
        <v>0</v>
      </c>
      <c r="I63" s="221">
        <f>I60+I61-I62</f>
        <v>0</v>
      </c>
      <c r="J63" s="765"/>
      <c r="K63" s="766"/>
      <c r="L63" s="221">
        <f>L60+L61-L62</f>
        <v>0</v>
      </c>
      <c r="M63" s="767"/>
      <c r="N63" s="768"/>
      <c r="O63" s="769">
        <f>O60+O61-O62</f>
        <v>0</v>
      </c>
      <c r="P63" s="767"/>
      <c r="Q63" s="770"/>
    </row>
    <row r="64" spans="1:15" s="16" customFormat="1" ht="15">
      <c r="A64" s="222"/>
      <c r="B64" s="222"/>
      <c r="C64" s="222"/>
      <c r="D64" s="222"/>
      <c r="E64" s="222"/>
      <c r="F64" s="222"/>
      <c r="G64" s="222"/>
      <c r="H64" s="223"/>
      <c r="I64" s="224"/>
      <c r="J64" s="225"/>
      <c r="K64" s="226"/>
      <c r="L64" s="226"/>
      <c r="M64" s="225"/>
      <c r="N64" s="226"/>
      <c r="O64" s="226"/>
    </row>
    <row r="65" spans="1:15" s="16" customFormat="1" ht="15">
      <c r="A65" s="227" t="s">
        <v>100</v>
      </c>
      <c r="B65" s="222"/>
      <c r="C65" s="222"/>
      <c r="D65" s="222"/>
      <c r="E65" s="222"/>
      <c r="F65" s="222"/>
      <c r="G65" s="224"/>
      <c r="H65" s="224"/>
      <c r="I65" s="224"/>
      <c r="J65" s="228"/>
      <c r="K65" s="224"/>
      <c r="L65" s="223"/>
      <c r="M65" s="228"/>
      <c r="N65" s="223"/>
      <c r="O65" s="675"/>
    </row>
  </sheetData>
  <sheetProtection/>
  <mergeCells count="42">
    <mergeCell ref="N11:N13"/>
    <mergeCell ref="O11:O13"/>
    <mergeCell ref="A1:Q1"/>
    <mergeCell ref="A5:D5"/>
    <mergeCell ref="J5:K5"/>
    <mergeCell ref="A6:D6"/>
    <mergeCell ref="J6:K6"/>
    <mergeCell ref="A7:D7"/>
    <mergeCell ref="J7:K7"/>
    <mergeCell ref="A8:D8"/>
    <mergeCell ref="J8:K8"/>
    <mergeCell ref="A9:H9"/>
    <mergeCell ref="J9:K9"/>
    <mergeCell ref="A10:I10"/>
    <mergeCell ref="A11:A13"/>
    <mergeCell ref="B11:B13"/>
    <mergeCell ref="C11:G13"/>
    <mergeCell ref="H11:H13"/>
    <mergeCell ref="I11:I13"/>
    <mergeCell ref="P11:P13"/>
    <mergeCell ref="Q11:Q13"/>
    <mergeCell ref="C14:G14"/>
    <mergeCell ref="C17:G17"/>
    <mergeCell ref="C18:G18"/>
    <mergeCell ref="C19:G19"/>
    <mergeCell ref="J11:J13"/>
    <mergeCell ref="K11:K13"/>
    <mergeCell ref="L11:L13"/>
    <mergeCell ref="M11:M13"/>
    <mergeCell ref="C20:G20"/>
    <mergeCell ref="C23:G23"/>
    <mergeCell ref="C24:G24"/>
    <mergeCell ref="C25:G25"/>
    <mergeCell ref="C26:G26"/>
    <mergeCell ref="C27:G27"/>
    <mergeCell ref="C63:G63"/>
    <mergeCell ref="C28:G28"/>
    <mergeCell ref="C29:G29"/>
    <mergeCell ref="C32:G32"/>
    <mergeCell ref="C33:G33"/>
    <mergeCell ref="C36:G36"/>
    <mergeCell ref="C62:G62"/>
  </mergeCells>
  <printOptions horizontalCentered="1"/>
  <pageMargins left="0.7480314960629921" right="0.5905511811023623" top="0.8661417322834646" bottom="0.7480314960629921" header="0.5905511811023623" footer="0.1968503937007874"/>
  <pageSetup fitToHeight="1" fitToWidth="1" horizontalDpi="600" verticalDpi="600" orientation="portrait" paperSize="9" scale="43" r:id="rId3"/>
  <headerFooter alignWithMargins="0">
    <oddHeader>&amp;R&amp;"Arial CE,Kurzíva"&amp;14Kapitola B.3.I.1
&amp;"Arial CE,Tučná kurzíva"Tabulka č. 2</oddHeader>
  </headerFooter>
  <colBreaks count="1" manualBreakCount="1">
    <brk id="30"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D41" sqref="D41"/>
    </sheetView>
  </sheetViews>
  <sheetFormatPr defaultColWidth="9.140625" defaultRowHeight="12.75"/>
  <cols>
    <col min="1" max="1" width="9.140625" style="1" customWidth="1"/>
    <col min="2" max="2" width="6.7109375" style="1" customWidth="1"/>
    <col min="3" max="11" width="14.421875" style="1" customWidth="1"/>
    <col min="12" max="16384" width="9.140625" style="1" customWidth="1"/>
  </cols>
  <sheetData>
    <row r="1" spans="1:6" ht="19.5">
      <c r="A1" s="20" t="s">
        <v>143</v>
      </c>
      <c r="B1" s="20"/>
      <c r="C1" s="20"/>
      <c r="D1" s="20"/>
      <c r="E1" s="20"/>
      <c r="F1" s="20"/>
    </row>
    <row r="2" spans="1:6" ht="26.25">
      <c r="A2" s="21"/>
      <c r="B2" s="21"/>
      <c r="C2" s="21"/>
      <c r="D2" s="21"/>
      <c r="E2" s="21"/>
      <c r="F2" s="21"/>
    </row>
    <row r="3" ht="12.75"/>
    <row r="5" spans="1:7" ht="14.25">
      <c r="A5" s="229" t="s">
        <v>102</v>
      </c>
      <c r="C5" s="230"/>
      <c r="D5" s="230"/>
      <c r="E5" s="230"/>
      <c r="F5" s="230"/>
      <c r="G5" s="230"/>
    </row>
    <row r="6" spans="2:11" ht="13.5" thickBot="1">
      <c r="B6" s="231"/>
      <c r="C6" s="231"/>
      <c r="D6" s="231"/>
      <c r="E6" s="231"/>
      <c r="F6" s="232"/>
      <c r="G6" s="233"/>
      <c r="K6" s="233" t="s">
        <v>103</v>
      </c>
    </row>
    <row r="7" spans="1:11" ht="26.25" thickBot="1">
      <c r="A7" s="852" t="s">
        <v>104</v>
      </c>
      <c r="B7" s="853"/>
      <c r="C7" s="235" t="s">
        <v>105</v>
      </c>
      <c r="D7" s="234" t="s">
        <v>106</v>
      </c>
      <c r="E7" s="236" t="s">
        <v>107</v>
      </c>
      <c r="F7" s="237" t="s">
        <v>108</v>
      </c>
      <c r="G7" s="237" t="s">
        <v>109</v>
      </c>
      <c r="H7" s="237" t="s">
        <v>110</v>
      </c>
      <c r="I7" s="237" t="s">
        <v>111</v>
      </c>
      <c r="J7" s="237" t="s">
        <v>112</v>
      </c>
      <c r="K7" s="238" t="s">
        <v>113</v>
      </c>
    </row>
    <row r="8" spans="1:15" ht="12.75" customHeight="1">
      <c r="A8" s="854">
        <v>11000</v>
      </c>
      <c r="B8" s="855"/>
      <c r="C8" s="239" t="s">
        <v>114</v>
      </c>
      <c r="D8" s="240">
        <v>1907618</v>
      </c>
      <c r="E8" s="241">
        <v>768503</v>
      </c>
      <c r="F8" s="241">
        <v>284580</v>
      </c>
      <c r="G8" s="241">
        <v>15316</v>
      </c>
      <c r="H8" s="241">
        <v>103832</v>
      </c>
      <c r="I8" s="241">
        <v>3854</v>
      </c>
      <c r="J8" s="241">
        <v>9064</v>
      </c>
      <c r="K8" s="242">
        <v>186739</v>
      </c>
      <c r="M8" s="243"/>
      <c r="O8" s="243"/>
    </row>
    <row r="9" spans="1:15" ht="12.75" customHeight="1">
      <c r="A9" s="846">
        <v>12000</v>
      </c>
      <c r="B9" s="847">
        <v>12000</v>
      </c>
      <c r="C9" s="244" t="s">
        <v>115</v>
      </c>
      <c r="D9" s="245">
        <v>417031</v>
      </c>
      <c r="E9" s="246">
        <v>107378</v>
      </c>
      <c r="F9" s="246">
        <v>32400</v>
      </c>
      <c r="G9" s="246">
        <v>8029</v>
      </c>
      <c r="H9" s="246">
        <v>28112</v>
      </c>
      <c r="I9" s="246">
        <v>1341</v>
      </c>
      <c r="J9" s="246">
        <v>824</v>
      </c>
      <c r="K9" s="247">
        <v>31472</v>
      </c>
      <c r="M9" s="243"/>
      <c r="O9" s="243"/>
    </row>
    <row r="10" spans="1:15" ht="12.75" customHeight="1">
      <c r="A10" s="846">
        <v>13000</v>
      </c>
      <c r="B10" s="847">
        <v>13000</v>
      </c>
      <c r="C10" s="244" t="s">
        <v>116</v>
      </c>
      <c r="D10" s="245">
        <v>345376</v>
      </c>
      <c r="E10" s="246">
        <v>67016</v>
      </c>
      <c r="F10" s="246">
        <v>6660</v>
      </c>
      <c r="G10" s="246">
        <v>297</v>
      </c>
      <c r="H10" s="246">
        <v>21281</v>
      </c>
      <c r="I10" s="246">
        <v>860</v>
      </c>
      <c r="J10" s="246">
        <v>0</v>
      </c>
      <c r="K10" s="247">
        <v>27824</v>
      </c>
      <c r="M10" s="243"/>
      <c r="O10" s="243"/>
    </row>
    <row r="11" spans="1:15" ht="12.75" customHeight="1">
      <c r="A11" s="846">
        <v>14000</v>
      </c>
      <c r="B11" s="847">
        <v>14000</v>
      </c>
      <c r="C11" s="244" t="s">
        <v>117</v>
      </c>
      <c r="D11" s="245">
        <v>1368066</v>
      </c>
      <c r="E11" s="246">
        <v>452038</v>
      </c>
      <c r="F11" s="246">
        <v>166500</v>
      </c>
      <c r="G11" s="246">
        <v>29189</v>
      </c>
      <c r="H11" s="246">
        <v>96234</v>
      </c>
      <c r="I11" s="246">
        <v>1698</v>
      </c>
      <c r="J11" s="246">
        <v>17284</v>
      </c>
      <c r="K11" s="247">
        <v>121421</v>
      </c>
      <c r="M11" s="243"/>
      <c r="O11" s="243"/>
    </row>
    <row r="12" spans="1:15" ht="12.75" customHeight="1">
      <c r="A12" s="846">
        <v>15000</v>
      </c>
      <c r="B12" s="847">
        <v>15000</v>
      </c>
      <c r="C12" s="244" t="s">
        <v>118</v>
      </c>
      <c r="D12" s="245">
        <v>776781</v>
      </c>
      <c r="E12" s="246">
        <v>219741</v>
      </c>
      <c r="F12" s="246">
        <v>68220</v>
      </c>
      <c r="G12" s="246">
        <v>8951</v>
      </c>
      <c r="H12" s="246">
        <v>54502</v>
      </c>
      <c r="I12" s="246">
        <v>789</v>
      </c>
      <c r="J12" s="246">
        <v>4416</v>
      </c>
      <c r="K12" s="247">
        <v>63786</v>
      </c>
      <c r="M12" s="243"/>
      <c r="O12" s="243"/>
    </row>
    <row r="13" spans="1:15" ht="12.75" customHeight="1">
      <c r="A13" s="846">
        <v>16000</v>
      </c>
      <c r="B13" s="847">
        <v>16000</v>
      </c>
      <c r="C13" s="244" t="s">
        <v>119</v>
      </c>
      <c r="D13" s="245">
        <v>212429</v>
      </c>
      <c r="E13" s="246">
        <v>47566</v>
      </c>
      <c r="F13" s="246">
        <v>13680</v>
      </c>
      <c r="G13" s="246">
        <v>0</v>
      </c>
      <c r="H13" s="246">
        <v>10066</v>
      </c>
      <c r="I13" s="246">
        <v>172</v>
      </c>
      <c r="J13" s="246">
        <v>0</v>
      </c>
      <c r="K13" s="247">
        <v>12472</v>
      </c>
      <c r="M13" s="243"/>
      <c r="O13" s="243"/>
    </row>
    <row r="14" spans="1:15" ht="12.75" customHeight="1">
      <c r="A14" s="846">
        <v>17000</v>
      </c>
      <c r="B14" s="847">
        <v>17000</v>
      </c>
      <c r="C14" s="244" t="s">
        <v>120</v>
      </c>
      <c r="D14" s="245">
        <v>351823</v>
      </c>
      <c r="E14" s="246">
        <v>85147</v>
      </c>
      <c r="F14" s="246">
        <v>15660</v>
      </c>
      <c r="G14" s="246">
        <v>1323</v>
      </c>
      <c r="H14" s="246">
        <v>22027</v>
      </c>
      <c r="I14" s="246">
        <v>936</v>
      </c>
      <c r="J14" s="246">
        <v>1652</v>
      </c>
      <c r="K14" s="247">
        <v>26609</v>
      </c>
      <c r="M14" s="243"/>
      <c r="O14" s="243"/>
    </row>
    <row r="15" spans="1:15" ht="12.75" customHeight="1">
      <c r="A15" s="846">
        <v>18000</v>
      </c>
      <c r="B15" s="847">
        <v>18000</v>
      </c>
      <c r="C15" s="244" t="s">
        <v>121</v>
      </c>
      <c r="D15" s="245">
        <v>240118</v>
      </c>
      <c r="E15" s="246">
        <v>52174</v>
      </c>
      <c r="F15" s="246">
        <v>6840</v>
      </c>
      <c r="G15" s="246">
        <v>542</v>
      </c>
      <c r="H15" s="246">
        <v>18619</v>
      </c>
      <c r="I15" s="246">
        <v>369</v>
      </c>
      <c r="J15" s="246">
        <v>1398</v>
      </c>
      <c r="K15" s="247">
        <v>21324</v>
      </c>
      <c r="M15" s="243"/>
      <c r="O15" s="243"/>
    </row>
    <row r="16" spans="1:15" ht="12.75" customHeight="1">
      <c r="A16" s="846">
        <v>19000</v>
      </c>
      <c r="B16" s="847">
        <v>19000</v>
      </c>
      <c r="C16" s="244" t="s">
        <v>122</v>
      </c>
      <c r="D16" s="245">
        <v>217956</v>
      </c>
      <c r="E16" s="246">
        <v>43700</v>
      </c>
      <c r="F16" s="246">
        <v>4860</v>
      </c>
      <c r="G16" s="246">
        <v>4890</v>
      </c>
      <c r="H16" s="246">
        <v>12220</v>
      </c>
      <c r="I16" s="246">
        <v>640</v>
      </c>
      <c r="J16" s="246">
        <v>1017</v>
      </c>
      <c r="K16" s="247">
        <v>16688</v>
      </c>
      <c r="M16" s="243"/>
      <c r="O16" s="243"/>
    </row>
    <row r="17" spans="1:15" ht="12.75" customHeight="1">
      <c r="A17" s="846">
        <v>21000</v>
      </c>
      <c r="B17" s="847">
        <v>21000</v>
      </c>
      <c r="C17" s="244" t="s">
        <v>123</v>
      </c>
      <c r="D17" s="245">
        <v>995851</v>
      </c>
      <c r="E17" s="246">
        <v>342985</v>
      </c>
      <c r="F17" s="246">
        <v>101160</v>
      </c>
      <c r="G17" s="246">
        <v>18255</v>
      </c>
      <c r="H17" s="246">
        <v>63758</v>
      </c>
      <c r="I17" s="246">
        <v>1060</v>
      </c>
      <c r="J17" s="246">
        <v>1707</v>
      </c>
      <c r="K17" s="247">
        <v>85332</v>
      </c>
      <c r="M17" s="243"/>
      <c r="O17" s="243"/>
    </row>
    <row r="18" spans="1:15" ht="12.75" customHeight="1">
      <c r="A18" s="846">
        <v>22000</v>
      </c>
      <c r="B18" s="847">
        <v>22000</v>
      </c>
      <c r="C18" s="244" t="s">
        <v>124</v>
      </c>
      <c r="D18" s="245">
        <v>248593</v>
      </c>
      <c r="E18" s="246">
        <v>94012</v>
      </c>
      <c r="F18" s="246">
        <v>42120</v>
      </c>
      <c r="G18" s="246">
        <v>2251</v>
      </c>
      <c r="H18" s="246">
        <v>13489</v>
      </c>
      <c r="I18" s="246">
        <v>515</v>
      </c>
      <c r="J18" s="246">
        <v>0</v>
      </c>
      <c r="K18" s="247">
        <v>19421</v>
      </c>
      <c r="M18" s="243"/>
      <c r="O18" s="243"/>
    </row>
    <row r="19" spans="1:15" ht="12.75" customHeight="1">
      <c r="A19" s="846">
        <v>23000</v>
      </c>
      <c r="B19" s="847">
        <v>23000</v>
      </c>
      <c r="C19" s="244" t="s">
        <v>125</v>
      </c>
      <c r="D19" s="245">
        <v>487125</v>
      </c>
      <c r="E19" s="246">
        <v>131431</v>
      </c>
      <c r="F19" s="246">
        <v>32670</v>
      </c>
      <c r="G19" s="246">
        <v>9817</v>
      </c>
      <c r="H19" s="246">
        <v>35791</v>
      </c>
      <c r="I19" s="246">
        <v>1098</v>
      </c>
      <c r="J19" s="246">
        <v>1615</v>
      </c>
      <c r="K19" s="247">
        <v>41390</v>
      </c>
      <c r="M19" s="243"/>
      <c r="O19" s="243"/>
    </row>
    <row r="20" spans="1:15" ht="12.75" customHeight="1">
      <c r="A20" s="846">
        <v>24000</v>
      </c>
      <c r="B20" s="847">
        <v>24000</v>
      </c>
      <c r="C20" s="244" t="s">
        <v>126</v>
      </c>
      <c r="D20" s="245">
        <v>289142</v>
      </c>
      <c r="E20" s="246">
        <v>67052</v>
      </c>
      <c r="F20" s="246">
        <v>16470</v>
      </c>
      <c r="G20" s="246">
        <v>4014</v>
      </c>
      <c r="H20" s="246">
        <v>18484</v>
      </c>
      <c r="I20" s="246">
        <v>786</v>
      </c>
      <c r="J20" s="246">
        <v>0</v>
      </c>
      <c r="K20" s="247">
        <v>25326</v>
      </c>
      <c r="M20" s="243"/>
      <c r="O20" s="243"/>
    </row>
    <row r="21" spans="1:15" ht="12.75" customHeight="1">
      <c r="A21" s="846">
        <v>25000</v>
      </c>
      <c r="B21" s="847">
        <v>25000</v>
      </c>
      <c r="C21" s="244" t="s">
        <v>127</v>
      </c>
      <c r="D21" s="245">
        <v>359401</v>
      </c>
      <c r="E21" s="246">
        <v>87104</v>
      </c>
      <c r="F21" s="246">
        <v>21150</v>
      </c>
      <c r="G21" s="246">
        <v>4944</v>
      </c>
      <c r="H21" s="246">
        <v>27918</v>
      </c>
      <c r="I21" s="246">
        <v>244</v>
      </c>
      <c r="J21" s="246">
        <v>837</v>
      </c>
      <c r="K21" s="247">
        <v>28205</v>
      </c>
      <c r="M21" s="243"/>
      <c r="O21" s="243"/>
    </row>
    <row r="22" spans="1:15" ht="12.75" customHeight="1">
      <c r="A22" s="846">
        <v>26000</v>
      </c>
      <c r="B22" s="847">
        <v>26000</v>
      </c>
      <c r="C22" s="244" t="s">
        <v>128</v>
      </c>
      <c r="D22" s="245">
        <v>857342</v>
      </c>
      <c r="E22" s="246">
        <v>252482</v>
      </c>
      <c r="F22" s="246">
        <v>96300</v>
      </c>
      <c r="G22" s="246">
        <v>20549</v>
      </c>
      <c r="H22" s="246">
        <v>78586</v>
      </c>
      <c r="I22" s="246">
        <v>1193</v>
      </c>
      <c r="J22" s="246">
        <v>963</v>
      </c>
      <c r="K22" s="247">
        <v>67118</v>
      </c>
      <c r="M22" s="243"/>
      <c r="O22" s="243"/>
    </row>
    <row r="23" spans="1:15" ht="12.75" customHeight="1">
      <c r="A23" s="846">
        <v>27000</v>
      </c>
      <c r="B23" s="847">
        <v>27000</v>
      </c>
      <c r="C23" s="244" t="s">
        <v>129</v>
      </c>
      <c r="D23" s="245">
        <v>695469</v>
      </c>
      <c r="E23" s="246">
        <v>156456</v>
      </c>
      <c r="F23" s="246">
        <v>50040</v>
      </c>
      <c r="G23" s="246">
        <v>5081</v>
      </c>
      <c r="H23" s="246">
        <v>45679</v>
      </c>
      <c r="I23" s="246">
        <v>526</v>
      </c>
      <c r="J23" s="246">
        <v>1411</v>
      </c>
      <c r="K23" s="247">
        <v>55050</v>
      </c>
      <c r="M23" s="243"/>
      <c r="O23" s="243"/>
    </row>
    <row r="24" spans="1:15" ht="12.75" customHeight="1">
      <c r="A24" s="846">
        <v>28000</v>
      </c>
      <c r="B24" s="847">
        <v>28000</v>
      </c>
      <c r="C24" s="244" t="s">
        <v>130</v>
      </c>
      <c r="D24" s="245">
        <v>453074</v>
      </c>
      <c r="E24" s="246">
        <v>87941</v>
      </c>
      <c r="F24" s="246">
        <v>16920</v>
      </c>
      <c r="G24" s="246">
        <v>3546</v>
      </c>
      <c r="H24" s="246">
        <v>21335</v>
      </c>
      <c r="I24" s="246">
        <v>602</v>
      </c>
      <c r="J24" s="246">
        <v>0</v>
      </c>
      <c r="K24" s="247">
        <v>30439</v>
      </c>
      <c r="M24" s="243"/>
      <c r="O24" s="243"/>
    </row>
    <row r="25" spans="1:15" ht="12.75" customHeight="1">
      <c r="A25" s="846">
        <v>31000</v>
      </c>
      <c r="B25" s="847">
        <v>31000</v>
      </c>
      <c r="C25" s="244" t="s">
        <v>131</v>
      </c>
      <c r="D25" s="245">
        <v>455850</v>
      </c>
      <c r="E25" s="246">
        <v>123627</v>
      </c>
      <c r="F25" s="246">
        <v>26910</v>
      </c>
      <c r="G25" s="246">
        <v>6469</v>
      </c>
      <c r="H25" s="246">
        <v>45349</v>
      </c>
      <c r="I25" s="246">
        <v>1527</v>
      </c>
      <c r="J25" s="246">
        <v>1175</v>
      </c>
      <c r="K25" s="247">
        <v>46951</v>
      </c>
      <c r="M25" s="243"/>
      <c r="O25" s="243"/>
    </row>
    <row r="26" spans="1:15" ht="12.75" customHeight="1">
      <c r="A26" s="846">
        <v>41000</v>
      </c>
      <c r="B26" s="847">
        <v>41000</v>
      </c>
      <c r="C26" s="244" t="s">
        <v>132</v>
      </c>
      <c r="D26" s="245">
        <v>687943</v>
      </c>
      <c r="E26" s="246">
        <v>173333</v>
      </c>
      <c r="F26" s="246">
        <v>46440</v>
      </c>
      <c r="G26" s="246">
        <v>4559</v>
      </c>
      <c r="H26" s="246">
        <v>44637</v>
      </c>
      <c r="I26" s="246">
        <v>1665</v>
      </c>
      <c r="J26" s="246">
        <v>1798</v>
      </c>
      <c r="K26" s="247">
        <v>53429</v>
      </c>
      <c r="M26" s="243"/>
      <c r="O26" s="243"/>
    </row>
    <row r="27" spans="1:15" ht="12.75" customHeight="1">
      <c r="A27" s="846">
        <v>43000</v>
      </c>
      <c r="B27" s="847">
        <v>43000</v>
      </c>
      <c r="C27" s="244" t="s">
        <v>133</v>
      </c>
      <c r="D27" s="245">
        <v>396184</v>
      </c>
      <c r="E27" s="246">
        <v>100369</v>
      </c>
      <c r="F27" s="246">
        <v>32040</v>
      </c>
      <c r="G27" s="246">
        <v>6362</v>
      </c>
      <c r="H27" s="246">
        <v>33745</v>
      </c>
      <c r="I27" s="246">
        <v>1400</v>
      </c>
      <c r="J27" s="246">
        <v>247</v>
      </c>
      <c r="K27" s="247">
        <v>31667</v>
      </c>
      <c r="M27" s="243"/>
      <c r="O27" s="243"/>
    </row>
    <row r="28" spans="1:15" ht="12.75" customHeight="1">
      <c r="A28" s="846">
        <v>51000</v>
      </c>
      <c r="B28" s="847">
        <v>51000</v>
      </c>
      <c r="C28" s="244" t="s">
        <v>134</v>
      </c>
      <c r="D28" s="245">
        <v>198902</v>
      </c>
      <c r="E28" s="246">
        <v>51169</v>
      </c>
      <c r="F28" s="246">
        <v>4860</v>
      </c>
      <c r="G28" s="246">
        <v>0</v>
      </c>
      <c r="H28" s="246">
        <v>2743</v>
      </c>
      <c r="I28" s="246">
        <v>0</v>
      </c>
      <c r="J28" s="246">
        <v>0</v>
      </c>
      <c r="K28" s="247">
        <v>15085</v>
      </c>
      <c r="M28" s="243"/>
      <c r="O28" s="243"/>
    </row>
    <row r="29" spans="1:15" ht="12.75" customHeight="1">
      <c r="A29" s="846">
        <v>52000</v>
      </c>
      <c r="B29" s="847">
        <v>52000</v>
      </c>
      <c r="C29" s="244" t="s">
        <v>135</v>
      </c>
      <c r="D29" s="245">
        <v>51840</v>
      </c>
      <c r="E29" s="246">
        <v>16064</v>
      </c>
      <c r="F29" s="246">
        <v>1530</v>
      </c>
      <c r="G29" s="246">
        <v>0</v>
      </c>
      <c r="H29" s="246">
        <v>842</v>
      </c>
      <c r="I29" s="246">
        <v>0</v>
      </c>
      <c r="J29" s="246">
        <v>0</v>
      </c>
      <c r="K29" s="247">
        <v>3345</v>
      </c>
      <c r="M29" s="243"/>
      <c r="O29" s="243"/>
    </row>
    <row r="30" spans="1:15" ht="12.75" customHeight="1">
      <c r="A30" s="846">
        <v>53000</v>
      </c>
      <c r="B30" s="847">
        <v>53000</v>
      </c>
      <c r="C30" s="244" t="s">
        <v>136</v>
      </c>
      <c r="D30" s="245">
        <v>73748</v>
      </c>
      <c r="E30" s="246">
        <v>23221</v>
      </c>
      <c r="F30" s="246">
        <v>1800</v>
      </c>
      <c r="G30" s="246">
        <v>0</v>
      </c>
      <c r="H30" s="246">
        <v>1318</v>
      </c>
      <c r="I30" s="246">
        <v>0</v>
      </c>
      <c r="J30" s="246">
        <v>0</v>
      </c>
      <c r="K30" s="247">
        <v>4895</v>
      </c>
      <c r="M30" s="243"/>
      <c r="O30" s="243"/>
    </row>
    <row r="31" spans="1:15" ht="12.75" customHeight="1">
      <c r="A31" s="846">
        <v>54000</v>
      </c>
      <c r="B31" s="847">
        <v>54000</v>
      </c>
      <c r="C31" s="244" t="s">
        <v>137</v>
      </c>
      <c r="D31" s="245">
        <v>109320</v>
      </c>
      <c r="E31" s="246">
        <v>30915</v>
      </c>
      <c r="F31" s="246">
        <v>2880</v>
      </c>
      <c r="G31" s="246">
        <v>0</v>
      </c>
      <c r="H31" s="246">
        <v>2138</v>
      </c>
      <c r="I31" s="246">
        <v>123</v>
      </c>
      <c r="J31" s="246">
        <v>1192</v>
      </c>
      <c r="K31" s="247">
        <v>7202</v>
      </c>
      <c r="M31" s="243"/>
      <c r="O31" s="243"/>
    </row>
    <row r="32" spans="1:15" ht="12.75" customHeight="1">
      <c r="A32" s="846">
        <v>55000</v>
      </c>
      <c r="B32" s="847">
        <v>55000</v>
      </c>
      <c r="C32" s="244" t="s">
        <v>138</v>
      </c>
      <c r="D32" s="245">
        <v>85297</v>
      </c>
      <c r="E32" s="246">
        <v>9741</v>
      </c>
      <c r="F32" s="246">
        <v>0</v>
      </c>
      <c r="G32" s="246">
        <v>559</v>
      </c>
      <c r="H32" s="246">
        <v>6491</v>
      </c>
      <c r="I32" s="246">
        <v>602</v>
      </c>
      <c r="J32" s="246">
        <v>0</v>
      </c>
      <c r="K32" s="247">
        <v>6143</v>
      </c>
      <c r="M32" s="243"/>
      <c r="O32" s="243"/>
    </row>
    <row r="33" spans="1:15" ht="12.75" customHeight="1" thickBot="1">
      <c r="A33" s="846">
        <v>56000</v>
      </c>
      <c r="B33" s="847">
        <v>56000</v>
      </c>
      <c r="C33" s="248" t="s">
        <v>139</v>
      </c>
      <c r="D33" s="249">
        <v>112301</v>
      </c>
      <c r="E33" s="250">
        <v>7261</v>
      </c>
      <c r="F33" s="250">
        <v>0</v>
      </c>
      <c r="G33" s="250">
        <v>360</v>
      </c>
      <c r="H33" s="250">
        <v>7301</v>
      </c>
      <c r="I33" s="250">
        <v>0</v>
      </c>
      <c r="J33" s="250">
        <v>0</v>
      </c>
      <c r="K33" s="251">
        <v>5669</v>
      </c>
      <c r="M33" s="243"/>
      <c r="O33" s="243"/>
    </row>
    <row r="34" spans="1:13" ht="13.5" thickBot="1">
      <c r="A34" s="848" t="s">
        <v>140</v>
      </c>
      <c r="B34" s="849"/>
      <c r="C34" s="850"/>
      <c r="D34" s="252">
        <f aca="true" t="shared" si="0" ref="D34:J34">SUM(D8:D33)</f>
        <v>12394580</v>
      </c>
      <c r="E34" s="253">
        <f t="shared" si="0"/>
        <v>3598426</v>
      </c>
      <c r="F34" s="253">
        <f t="shared" si="0"/>
        <v>1092690</v>
      </c>
      <c r="G34" s="253">
        <f t="shared" si="0"/>
        <v>155303</v>
      </c>
      <c r="H34" s="253">
        <f t="shared" si="0"/>
        <v>816497</v>
      </c>
      <c r="I34" s="253">
        <f t="shared" si="0"/>
        <v>22000</v>
      </c>
      <c r="J34" s="253">
        <f t="shared" si="0"/>
        <v>46600</v>
      </c>
      <c r="K34" s="254">
        <f>SUM(K8:K33)</f>
        <v>1035002</v>
      </c>
      <c r="M34" s="243"/>
    </row>
    <row r="35" spans="2:7" ht="20.25" customHeight="1">
      <c r="B35" s="231"/>
      <c r="C35" s="231"/>
      <c r="D35" s="231"/>
      <c r="E35" s="231"/>
      <c r="F35" s="231"/>
      <c r="G35" s="231"/>
    </row>
    <row r="36" spans="1:11" ht="29.25" customHeight="1">
      <c r="A36" s="255" t="s">
        <v>141</v>
      </c>
      <c r="B36" s="851" t="s">
        <v>142</v>
      </c>
      <c r="C36" s="851"/>
      <c r="D36" s="851"/>
      <c r="E36" s="851"/>
      <c r="F36" s="851"/>
      <c r="G36" s="851"/>
      <c r="H36" s="851"/>
      <c r="I36" s="851"/>
      <c r="J36" s="851"/>
      <c r="K36" s="851"/>
    </row>
  </sheetData>
  <sheetProtection/>
  <mergeCells count="29">
    <mergeCell ref="A7:B7"/>
    <mergeCell ref="A8:B8"/>
    <mergeCell ref="A9:B9"/>
    <mergeCell ref="A10:B10"/>
    <mergeCell ref="A11:B11"/>
    <mergeCell ref="A12:B12"/>
    <mergeCell ref="A13:B13"/>
    <mergeCell ref="A14:B14"/>
    <mergeCell ref="A15:B15"/>
    <mergeCell ref="A16:B16"/>
    <mergeCell ref="A17:B17"/>
    <mergeCell ref="A18:B18"/>
    <mergeCell ref="A30:B30"/>
    <mergeCell ref="A19:B19"/>
    <mergeCell ref="A20:B20"/>
    <mergeCell ref="A21:B21"/>
    <mergeCell ref="A22:B22"/>
    <mergeCell ref="A23:B23"/>
    <mergeCell ref="A24:B24"/>
    <mergeCell ref="A31:B31"/>
    <mergeCell ref="A32:B32"/>
    <mergeCell ref="A33:B33"/>
    <mergeCell ref="A34:C34"/>
    <mergeCell ref="B36:K36"/>
    <mergeCell ref="A25:B25"/>
    <mergeCell ref="A26:B26"/>
    <mergeCell ref="A27:B27"/>
    <mergeCell ref="A28:B28"/>
    <mergeCell ref="A29:B29"/>
  </mergeCells>
  <printOptions horizontalCentered="1"/>
  <pageMargins left="0.9448818897637796" right="0.5905511811023623" top="1.062992125984252" bottom="0.9448818897637796" header="0.5905511811023623" footer="0.1968503937007874"/>
  <pageSetup fitToHeight="1" fitToWidth="1" horizontalDpi="600" verticalDpi="600" orientation="landscape" paperSize="9" scale="88" r:id="rId2"/>
  <headerFooter alignWithMargins="0">
    <oddHeader>&amp;R&amp;"Arial CE,Kurzíva"Kapitola B.3.I.1
&amp;"Arial CE,Tučné"Tabulka č.3</oddHeader>
  </headerFooter>
  <colBreaks count="1" manualBreakCount="1">
    <brk id="29" max="65535" man="1"/>
  </colBreaks>
  <drawing r:id="rId1"/>
</worksheet>
</file>

<file path=xl/worksheets/sheet4.xml><?xml version="1.0" encoding="utf-8"?>
<worksheet xmlns="http://schemas.openxmlformats.org/spreadsheetml/2006/main" xmlns:r="http://schemas.openxmlformats.org/officeDocument/2006/relationships">
  <dimension ref="A1:P244"/>
  <sheetViews>
    <sheetView tabSelected="1" zoomScale="80" zoomScaleNormal="80" workbookViewId="0" topLeftCell="A1">
      <selection activeCell="H4" sqref="H4"/>
    </sheetView>
  </sheetViews>
  <sheetFormatPr defaultColWidth="9.140625" defaultRowHeight="12.75"/>
  <cols>
    <col min="1" max="1" width="26.28125" style="28" customWidth="1"/>
    <col min="2" max="2" width="12.421875" style="28" customWidth="1"/>
    <col min="3" max="3" width="18.8515625" style="27" customWidth="1"/>
    <col min="4" max="4" width="18.8515625" style="28" customWidth="1"/>
    <col min="5" max="5" width="15.421875" style="28" customWidth="1"/>
    <col min="6" max="6" width="14.8515625" style="28" customWidth="1"/>
    <col min="7" max="7" width="15.8515625" style="28" customWidth="1"/>
    <col min="8" max="8" width="12.57421875" style="28" customWidth="1"/>
    <col min="9" max="9" width="13.7109375" style="29" customWidth="1"/>
    <col min="10" max="10" width="14.7109375" style="28" customWidth="1"/>
    <col min="11" max="11" width="12.8515625" style="28" customWidth="1"/>
    <col min="12" max="12" width="11.7109375" style="30" customWidth="1"/>
    <col min="13" max="13" width="12.421875" style="28" customWidth="1"/>
    <col min="14" max="14" width="13.8515625" style="31" customWidth="1"/>
    <col min="15" max="15" width="10.421875" style="28" bestFit="1" customWidth="1"/>
    <col min="16" max="16384" width="9.140625" style="28" customWidth="1"/>
  </cols>
  <sheetData>
    <row r="1" spans="1:16" s="26" customFormat="1" ht="32.25" customHeight="1">
      <c r="A1" s="22" t="s">
        <v>250</v>
      </c>
      <c r="B1" s="23"/>
      <c r="C1" s="24"/>
      <c r="D1" s="23"/>
      <c r="E1" s="28"/>
      <c r="O1" s="28"/>
      <c r="P1" s="28"/>
    </row>
    <row r="2" spans="3:14" ht="12.75">
      <c r="C2" s="28"/>
      <c r="I2" s="28"/>
      <c r="L2" s="28"/>
      <c r="N2" s="28"/>
    </row>
    <row r="5" spans="1:14" s="95" customFormat="1" ht="15.75">
      <c r="A5" s="256" t="s">
        <v>144</v>
      </c>
      <c r="B5" s="257" t="s">
        <v>145</v>
      </c>
      <c r="C5" s="27"/>
      <c r="D5" s="27"/>
      <c r="E5" s="28"/>
      <c r="F5" s="28"/>
      <c r="G5" s="28"/>
      <c r="H5" s="28"/>
      <c r="I5" s="29"/>
      <c r="J5" s="28"/>
      <c r="K5" s="28"/>
      <c r="L5" s="30"/>
      <c r="M5" s="28"/>
      <c r="N5" s="31"/>
    </row>
    <row r="6" spans="1:14" s="95" customFormat="1" ht="12.75">
      <c r="A6" s="856" t="s">
        <v>146</v>
      </c>
      <c r="B6" s="856"/>
      <c r="C6" s="27"/>
      <c r="D6" s="27"/>
      <c r="E6" s="28"/>
      <c r="F6" s="28"/>
      <c r="G6" s="28"/>
      <c r="H6" s="28"/>
      <c r="I6" s="29"/>
      <c r="J6" s="28"/>
      <c r="K6" s="28"/>
      <c r="L6" s="30"/>
      <c r="M6" s="28"/>
      <c r="N6" s="31"/>
    </row>
    <row r="7" spans="1:14" s="95" customFormat="1" ht="14.25" customHeight="1">
      <c r="A7" s="258" t="s">
        <v>147</v>
      </c>
      <c r="B7" s="28" t="s">
        <v>148</v>
      </c>
      <c r="C7" s="27"/>
      <c r="D7" s="27"/>
      <c r="E7" s="857" t="s">
        <v>149</v>
      </c>
      <c r="F7" s="857"/>
      <c r="G7" s="857"/>
      <c r="H7" s="857"/>
      <c r="I7" s="857"/>
      <c r="J7" s="857"/>
      <c r="K7" s="857"/>
      <c r="L7" s="857"/>
      <c r="M7" s="857"/>
      <c r="N7" s="857"/>
    </row>
    <row r="8" spans="1:14" s="95" customFormat="1" ht="14.25" customHeight="1">
      <c r="A8" s="258" t="s">
        <v>150</v>
      </c>
      <c r="B8" s="28" t="s">
        <v>151</v>
      </c>
      <c r="C8" s="27"/>
      <c r="D8" s="27"/>
      <c r="E8" s="857"/>
      <c r="F8" s="857"/>
      <c r="G8" s="857"/>
      <c r="H8" s="857"/>
      <c r="I8" s="857"/>
      <c r="J8" s="857"/>
      <c r="K8" s="857"/>
      <c r="L8" s="857"/>
      <c r="M8" s="857"/>
      <c r="N8" s="857"/>
    </row>
    <row r="9" spans="1:14" s="95" customFormat="1" ht="15">
      <c r="A9" s="258" t="s">
        <v>152</v>
      </c>
      <c r="B9" s="28" t="s">
        <v>321</v>
      </c>
      <c r="C9" s="27"/>
      <c r="D9" s="27"/>
      <c r="E9" s="259" t="s">
        <v>153</v>
      </c>
      <c r="F9" s="260"/>
      <c r="G9" s="260"/>
      <c r="H9" s="260"/>
      <c r="I9" s="260"/>
      <c r="J9" s="260"/>
      <c r="K9" s="260"/>
      <c r="L9" s="260"/>
      <c r="M9" s="260"/>
      <c r="N9" s="261"/>
    </row>
    <row r="10" spans="1:14" s="95" customFormat="1" ht="15">
      <c r="A10" s="258"/>
      <c r="B10" s="28" t="s">
        <v>322</v>
      </c>
      <c r="C10" s="27"/>
      <c r="D10" s="27"/>
      <c r="E10" s="259"/>
      <c r="F10" s="260"/>
      <c r="G10" s="260"/>
      <c r="H10" s="260"/>
      <c r="I10" s="260"/>
      <c r="J10" s="260"/>
      <c r="K10" s="260"/>
      <c r="L10" s="260"/>
      <c r="M10" s="260"/>
      <c r="N10" s="261"/>
    </row>
    <row r="11" spans="1:14" s="95" customFormat="1" ht="15.75">
      <c r="A11" s="258" t="s">
        <v>154</v>
      </c>
      <c r="B11" s="28" t="s">
        <v>155</v>
      </c>
      <c r="C11" s="27"/>
      <c r="D11" s="27"/>
      <c r="E11" s="262"/>
      <c r="F11" s="28"/>
      <c r="G11" s="263"/>
      <c r="H11" s="263"/>
      <c r="I11" s="263"/>
      <c r="J11" s="263"/>
      <c r="K11" s="263"/>
      <c r="L11" s="263"/>
      <c r="M11" s="28"/>
      <c r="N11" s="31"/>
    </row>
    <row r="12" spans="1:14" s="95" customFormat="1" ht="15">
      <c r="A12" s="258" t="s">
        <v>156</v>
      </c>
      <c r="B12" s="28" t="s">
        <v>157</v>
      </c>
      <c r="C12" s="27"/>
      <c r="D12" s="27"/>
      <c r="E12" s="262"/>
      <c r="F12" s="28"/>
      <c r="G12" s="28"/>
      <c r="H12" s="28"/>
      <c r="I12" s="29"/>
      <c r="J12" s="28"/>
      <c r="K12" s="28"/>
      <c r="L12" s="30"/>
      <c r="M12" s="28"/>
      <c r="N12" s="31"/>
    </row>
    <row r="13" spans="1:14" s="95" customFormat="1" ht="13.5" thickBot="1">
      <c r="A13" s="28"/>
      <c r="B13" s="28"/>
      <c r="C13" s="27" t="s">
        <v>158</v>
      </c>
      <c r="D13" s="28"/>
      <c r="E13" s="28"/>
      <c r="F13" s="28"/>
      <c r="G13" s="28"/>
      <c r="H13" s="28"/>
      <c r="I13" s="29"/>
      <c r="J13" s="28"/>
      <c r="K13" s="28"/>
      <c r="L13" s="30"/>
      <c r="M13" s="28"/>
      <c r="N13" s="31"/>
    </row>
    <row r="14" spans="1:14" s="95" customFormat="1" ht="90" thickTop="1">
      <c r="A14" s="264" t="s">
        <v>105</v>
      </c>
      <c r="B14" s="265" t="s">
        <v>159</v>
      </c>
      <c r="C14" s="266" t="s">
        <v>160</v>
      </c>
      <c r="D14" s="267" t="s">
        <v>161</v>
      </c>
      <c r="E14" s="268" t="s">
        <v>162</v>
      </c>
      <c r="F14" s="269" t="s">
        <v>163</v>
      </c>
      <c r="G14" s="270" t="s">
        <v>164</v>
      </c>
      <c r="H14" s="271" t="s">
        <v>165</v>
      </c>
      <c r="I14" s="272" t="s">
        <v>166</v>
      </c>
      <c r="J14" s="271" t="s">
        <v>167</v>
      </c>
      <c r="K14" s="273" t="s">
        <v>168</v>
      </c>
      <c r="L14" s="274" t="s">
        <v>169</v>
      </c>
      <c r="M14" s="275" t="s">
        <v>170</v>
      </c>
      <c r="N14" s="276" t="s">
        <v>171</v>
      </c>
    </row>
    <row r="15" spans="1:14" s="95" customFormat="1" ht="12.75">
      <c r="A15" s="277">
        <v>1</v>
      </c>
      <c r="B15" s="278">
        <v>2</v>
      </c>
      <c r="C15" s="278">
        <v>3</v>
      </c>
      <c r="D15" s="279">
        <v>4</v>
      </c>
      <c r="E15" s="280">
        <v>5</v>
      </c>
      <c r="F15" s="277">
        <v>6</v>
      </c>
      <c r="G15" s="281">
        <v>7</v>
      </c>
      <c r="H15" s="277">
        <v>8</v>
      </c>
      <c r="I15" s="282">
        <v>9</v>
      </c>
      <c r="J15" s="277">
        <v>10</v>
      </c>
      <c r="K15" s="283">
        <v>11</v>
      </c>
      <c r="L15" s="280">
        <v>12</v>
      </c>
      <c r="M15" s="284">
        <v>13</v>
      </c>
      <c r="N15" s="285">
        <v>14</v>
      </c>
    </row>
    <row r="16" spans="1:14" s="95" customFormat="1" ht="12.75">
      <c r="A16" s="286"/>
      <c r="B16" s="287"/>
      <c r="C16" s="288"/>
      <c r="D16" s="289"/>
      <c r="E16" s="290"/>
      <c r="F16" s="286"/>
      <c r="G16" s="291"/>
      <c r="H16" s="286"/>
      <c r="I16" s="292"/>
      <c r="J16" s="286"/>
      <c r="K16" s="293"/>
      <c r="L16" s="290"/>
      <c r="M16" s="294"/>
      <c r="N16" s="295"/>
    </row>
    <row r="17" spans="1:14" s="95" customFormat="1" ht="12.75">
      <c r="A17" s="296" t="s">
        <v>172</v>
      </c>
      <c r="B17" s="297" t="s">
        <v>173</v>
      </c>
      <c r="C17" s="298">
        <v>6191</v>
      </c>
      <c r="D17" s="299">
        <v>7245</v>
      </c>
      <c r="E17" s="300">
        <f>IF(C17&gt;=0.9*D17,D17,C17+0.1*D17)</f>
        <v>6915.5</v>
      </c>
      <c r="F17" s="292"/>
      <c r="G17" s="301">
        <f>E17+F17</f>
        <v>6915.5</v>
      </c>
      <c r="H17" s="302">
        <v>1.4969778711032145</v>
      </c>
      <c r="I17" s="292">
        <f>E17*H17</f>
        <v>10352.35046761428</v>
      </c>
      <c r="J17" s="303"/>
      <c r="K17" s="304">
        <f>SUM(I17:J17)</f>
        <v>10352.35046761428</v>
      </c>
      <c r="L17" s="300"/>
      <c r="M17" s="305">
        <f>IF(D17&gt;C17,C17-D17,0)</f>
        <v>-1054</v>
      </c>
      <c r="N17" s="306">
        <f>IF(D17&lt;C17,C17-D17,0)</f>
        <v>0</v>
      </c>
    </row>
    <row r="18" spans="1:14" s="95" customFormat="1" ht="12.75">
      <c r="A18" s="296" t="s">
        <v>172</v>
      </c>
      <c r="B18" s="297" t="s">
        <v>174</v>
      </c>
      <c r="C18" s="298">
        <v>2414</v>
      </c>
      <c r="D18" s="299">
        <v>2325</v>
      </c>
      <c r="E18" s="300">
        <f>IF(C18&gt;=0.9*D18,D18,C18+0.1*D18)</f>
        <v>2325</v>
      </c>
      <c r="F18" s="303">
        <f>M232</f>
        <v>138</v>
      </c>
      <c r="G18" s="301">
        <f>E18+F18</f>
        <v>2463</v>
      </c>
      <c r="H18" s="302">
        <v>2.1173363711681854</v>
      </c>
      <c r="I18" s="292">
        <f>E18*H18</f>
        <v>4922.8070629660315</v>
      </c>
      <c r="J18" s="303">
        <f>N232</f>
        <v>483</v>
      </c>
      <c r="K18" s="304">
        <f>SUM(I18:J18)</f>
        <v>5405.8070629660315</v>
      </c>
      <c r="L18" s="300"/>
      <c r="M18" s="305">
        <f>IF(D18&gt;C18,C18-D18,0)</f>
        <v>0</v>
      </c>
      <c r="N18" s="306">
        <f>IF(D18&lt;C18,C18-D18,0)</f>
        <v>89</v>
      </c>
    </row>
    <row r="19" spans="1:14" s="95" customFormat="1" ht="12.75">
      <c r="A19" s="296" t="s">
        <v>172</v>
      </c>
      <c r="B19" s="297" t="s">
        <v>175</v>
      </c>
      <c r="C19" s="298">
        <v>3495.5</v>
      </c>
      <c r="D19" s="299">
        <v>3557</v>
      </c>
      <c r="E19" s="300">
        <f>IF(C19&gt;=0.9*D19,D19,C19+0.1*D19)</f>
        <v>3557</v>
      </c>
      <c r="F19" s="303"/>
      <c r="G19" s="301">
        <f>E19+F19</f>
        <v>3557</v>
      </c>
      <c r="H19" s="302">
        <v>1.4264282649120297</v>
      </c>
      <c r="I19" s="292">
        <f>E19*H19</f>
        <v>5073.80533829209</v>
      </c>
      <c r="J19" s="303"/>
      <c r="K19" s="304">
        <f>SUM(I19:J19)</f>
        <v>5073.80533829209</v>
      </c>
      <c r="L19" s="300"/>
      <c r="M19" s="305">
        <f>IF(D19&gt;C19,C19-D19,0)</f>
        <v>-61.5</v>
      </c>
      <c r="N19" s="306">
        <f>IF(D19&lt;C19,C19-D19,0)</f>
        <v>0</v>
      </c>
    </row>
    <row r="20" spans="1:14" s="95" customFormat="1" ht="12.75">
      <c r="A20" s="307" t="s">
        <v>172</v>
      </c>
      <c r="B20" s="308" t="s">
        <v>176</v>
      </c>
      <c r="C20" s="309">
        <v>1265</v>
      </c>
      <c r="D20" s="310">
        <v>1500</v>
      </c>
      <c r="E20" s="300">
        <f>IF(C20&gt;=0.9*D20,D20,C20+0.1*D20)</f>
        <v>1415</v>
      </c>
      <c r="F20" s="311">
        <f>M233</f>
        <v>3</v>
      </c>
      <c r="G20" s="301">
        <f>E20+F20</f>
        <v>1418</v>
      </c>
      <c r="H20" s="312">
        <v>1.8034387351778656</v>
      </c>
      <c r="I20" s="292">
        <f>E20*H20</f>
        <v>2551.86581027668</v>
      </c>
      <c r="J20" s="311">
        <f>N233</f>
        <v>8.4</v>
      </c>
      <c r="K20" s="304">
        <f>SUM(I20:J20)</f>
        <v>2560.26581027668</v>
      </c>
      <c r="L20" s="313"/>
      <c r="M20" s="305">
        <f>IF(D20&gt;C20,C20-D20,0)</f>
        <v>-235</v>
      </c>
      <c r="N20" s="306">
        <f>IF(D20&lt;C20,C20-D20,0)</f>
        <v>0</v>
      </c>
    </row>
    <row r="21" spans="1:14" s="95" customFormat="1" ht="13.5" thickBot="1">
      <c r="A21" s="314" t="s">
        <v>172</v>
      </c>
      <c r="B21" s="315" t="s">
        <v>177</v>
      </c>
      <c r="C21" s="298">
        <v>27807</v>
      </c>
      <c r="D21" s="299">
        <v>27467</v>
      </c>
      <c r="E21" s="300">
        <f>IF(C21&lt;D21,C21,D21)</f>
        <v>27467</v>
      </c>
      <c r="F21" s="311">
        <f>M234</f>
        <v>636.5</v>
      </c>
      <c r="G21" s="301">
        <f>E21+F21</f>
        <v>28103.5</v>
      </c>
      <c r="H21" s="302">
        <v>1.7089186176142699</v>
      </c>
      <c r="I21" s="292">
        <f>E21*H21</f>
        <v>46938.867670011154</v>
      </c>
      <c r="J21" s="311">
        <f>N234</f>
        <v>2222.85</v>
      </c>
      <c r="K21" s="304">
        <f>SUM(I21:J21)</f>
        <v>49161.71767001115</v>
      </c>
      <c r="L21" s="313"/>
      <c r="M21" s="305">
        <f>IF(D21&gt;C21,C21-D21,0)</f>
        <v>0</v>
      </c>
      <c r="N21" s="306">
        <f>IF(D21&lt;C21,C21-D21,0)</f>
        <v>340</v>
      </c>
    </row>
    <row r="22" spans="1:14" s="95" customFormat="1" ht="13.5" thickBot="1">
      <c r="A22" s="316" t="s">
        <v>172</v>
      </c>
      <c r="B22" s="317" t="s">
        <v>178</v>
      </c>
      <c r="C22" s="318">
        <v>41172.5</v>
      </c>
      <c r="D22" s="319">
        <f>SUM(D17:D21)</f>
        <v>42094</v>
      </c>
      <c r="E22" s="319">
        <f>SUM(E17:E21)</f>
        <v>41679.5</v>
      </c>
      <c r="F22" s="320">
        <f>SUM(F17:F21)</f>
        <v>777.5</v>
      </c>
      <c r="G22" s="321">
        <f>SUM(G17:G21)</f>
        <v>42457</v>
      </c>
      <c r="H22" s="320"/>
      <c r="I22" s="320">
        <f>SUM(I17:I21)</f>
        <v>69839.69634916024</v>
      </c>
      <c r="J22" s="320">
        <f>SUM(J17:J21)</f>
        <v>2714.25</v>
      </c>
      <c r="K22" s="322">
        <f>SUM(K17:K21)</f>
        <v>72553.94634916024</v>
      </c>
      <c r="L22" s="323">
        <f>ROUND(K22*$N$156/$K$151,0)</f>
        <v>748615</v>
      </c>
      <c r="M22" s="324">
        <f>SUM(M17:M21)</f>
        <v>-1350.5</v>
      </c>
      <c r="N22" s="325">
        <f>SUM(N17:N21)</f>
        <v>429</v>
      </c>
    </row>
    <row r="23" spans="1:14" s="95" customFormat="1" ht="12.75">
      <c r="A23" s="326" t="s">
        <v>179</v>
      </c>
      <c r="B23" s="297" t="s">
        <v>173</v>
      </c>
      <c r="C23" s="298">
        <v>3393.5</v>
      </c>
      <c r="D23" s="299">
        <v>2767</v>
      </c>
      <c r="E23" s="300">
        <f>IF(C23&gt;=0.9*D23,D23,C23+0.1*D23)</f>
        <v>2767</v>
      </c>
      <c r="F23" s="292"/>
      <c r="G23" s="301">
        <f>E23+F23</f>
        <v>2767</v>
      </c>
      <c r="H23" s="302">
        <v>1.5383615735965819</v>
      </c>
      <c r="I23" s="292">
        <f>E23*H23</f>
        <v>4256.646474141742</v>
      </c>
      <c r="J23" s="303"/>
      <c r="K23" s="304">
        <f>SUM(I23:J23)</f>
        <v>4256.646474141742</v>
      </c>
      <c r="L23" s="300"/>
      <c r="M23" s="305">
        <f>IF(D23&gt;C23,C23-D23,0)</f>
        <v>0</v>
      </c>
      <c r="N23" s="306">
        <f>IF(D23&lt;C23,C23-D23,0)</f>
        <v>626.5</v>
      </c>
    </row>
    <row r="24" spans="1:14" s="95" customFormat="1" ht="12.75">
      <c r="A24" s="286" t="s">
        <v>179</v>
      </c>
      <c r="B24" s="297" t="s">
        <v>174</v>
      </c>
      <c r="C24" s="298">
        <v>63.5</v>
      </c>
      <c r="D24" s="299">
        <v>56</v>
      </c>
      <c r="E24" s="300">
        <f>IF(C24&gt;=0.9*D24,D24,C24+0.1*D24)</f>
        <v>56</v>
      </c>
      <c r="F24" s="292"/>
      <c r="G24" s="301">
        <f>E24+F24</f>
        <v>56</v>
      </c>
      <c r="H24" s="302">
        <v>1.2</v>
      </c>
      <c r="I24" s="292">
        <f>E24*H24</f>
        <v>67.2</v>
      </c>
      <c r="J24" s="303"/>
      <c r="K24" s="304">
        <f>SUM(I24:J24)</f>
        <v>67.2</v>
      </c>
      <c r="L24" s="300"/>
      <c r="M24" s="305">
        <f>IF(D24&gt;C24,C24-D24,0)</f>
        <v>0</v>
      </c>
      <c r="N24" s="306">
        <f>IF(D24&lt;C24,C24-D24,0)</f>
        <v>7.5</v>
      </c>
    </row>
    <row r="25" spans="1:14" s="95" customFormat="1" ht="12.75">
      <c r="A25" s="286" t="s">
        <v>179</v>
      </c>
      <c r="B25" s="297" t="s">
        <v>175</v>
      </c>
      <c r="C25" s="298">
        <v>1132</v>
      </c>
      <c r="D25" s="299">
        <v>829</v>
      </c>
      <c r="E25" s="300">
        <f>IF(C25&gt;=0.9*D25,D25,C25+0.1*D25)</f>
        <v>829</v>
      </c>
      <c r="F25" s="292"/>
      <c r="G25" s="301">
        <f>E25+F25</f>
        <v>829</v>
      </c>
      <c r="H25" s="302">
        <v>1.5731890459363957</v>
      </c>
      <c r="I25" s="292">
        <f>E25*H25</f>
        <v>1304.173719081272</v>
      </c>
      <c r="J25" s="303"/>
      <c r="K25" s="304">
        <f>SUM(I25:J25)</f>
        <v>1304.173719081272</v>
      </c>
      <c r="L25" s="300"/>
      <c r="M25" s="305">
        <f>IF(D25&gt;C25,C25-D25,0)</f>
        <v>0</v>
      </c>
      <c r="N25" s="306">
        <f>IF(D25&lt;C25,C25-D25,0)</f>
        <v>303</v>
      </c>
    </row>
    <row r="26" spans="1:14" s="95" customFormat="1" ht="12.75">
      <c r="A26" s="307" t="s">
        <v>180</v>
      </c>
      <c r="B26" s="308" t="s">
        <v>176</v>
      </c>
      <c r="C26" s="309">
        <v>148</v>
      </c>
      <c r="D26" s="310">
        <v>141</v>
      </c>
      <c r="E26" s="300">
        <f>IF(C26&gt;=0.9*D26,D26,C26+0.1*D26)</f>
        <v>141</v>
      </c>
      <c r="F26" s="327"/>
      <c r="G26" s="301">
        <f>E26+F26</f>
        <v>141</v>
      </c>
      <c r="H26" s="312">
        <v>1.9331756756756757</v>
      </c>
      <c r="I26" s="292">
        <f>E26*H26</f>
        <v>272.57777027027026</v>
      </c>
      <c r="J26" s="311"/>
      <c r="K26" s="304">
        <f>SUM(I26:J26)</f>
        <v>272.57777027027026</v>
      </c>
      <c r="L26" s="313"/>
      <c r="M26" s="305">
        <f>IF(D26&gt;C26,C26-D26,0)</f>
        <v>0</v>
      </c>
      <c r="N26" s="306">
        <f>IF(D26&lt;C26,C26-D26,0)</f>
        <v>7</v>
      </c>
    </row>
    <row r="27" spans="1:14" s="95" customFormat="1" ht="13.5" thickBot="1">
      <c r="A27" s="328" t="s">
        <v>179</v>
      </c>
      <c r="B27" s="315" t="s">
        <v>177</v>
      </c>
      <c r="C27" s="298">
        <v>7229</v>
      </c>
      <c r="D27" s="299">
        <v>6493</v>
      </c>
      <c r="E27" s="300">
        <f>IF(C27&lt;D27,C27,D27)</f>
        <v>6493</v>
      </c>
      <c r="F27" s="327"/>
      <c r="G27" s="301">
        <f>E27+F27</f>
        <v>6493</v>
      </c>
      <c r="H27" s="302">
        <v>1.5340628026006362</v>
      </c>
      <c r="I27" s="292">
        <f>E27*H27</f>
        <v>9960.669777285932</v>
      </c>
      <c r="J27" s="311"/>
      <c r="K27" s="304">
        <f>SUM(I27:J27)</f>
        <v>9960.669777285932</v>
      </c>
      <c r="L27" s="313"/>
      <c r="M27" s="305">
        <f>IF(D27&gt;C27,C27-D27,0)</f>
        <v>0</v>
      </c>
      <c r="N27" s="306">
        <f>IF(D27&lt;C27,C27-D27,0)</f>
        <v>736</v>
      </c>
    </row>
    <row r="28" spans="1:14" s="95" customFormat="1" ht="13.5" thickBot="1">
      <c r="A28" s="316" t="s">
        <v>179</v>
      </c>
      <c r="B28" s="317" t="s">
        <v>178</v>
      </c>
      <c r="C28" s="318">
        <v>11966</v>
      </c>
      <c r="D28" s="319">
        <f>SUM(D23:D27)</f>
        <v>10286</v>
      </c>
      <c r="E28" s="319">
        <f>SUM(E23:E27)</f>
        <v>10286</v>
      </c>
      <c r="F28" s="320">
        <f>SUM(F23:F27)</f>
        <v>0</v>
      </c>
      <c r="G28" s="321">
        <f>SUM(G23:G27)</f>
        <v>10286</v>
      </c>
      <c r="H28" s="320"/>
      <c r="I28" s="320">
        <f>SUM(I23:I27)</f>
        <v>15861.267740779214</v>
      </c>
      <c r="J28" s="320">
        <f>SUM(J23:J27)</f>
        <v>0</v>
      </c>
      <c r="K28" s="322">
        <f>SUM(K23:K27)</f>
        <v>15861.267740779214</v>
      </c>
      <c r="L28" s="323">
        <f>ROUND(K28*$N$156/$K$151,0)</f>
        <v>163657</v>
      </c>
      <c r="M28" s="324">
        <f>SUM(M23:M27)</f>
        <v>0</v>
      </c>
      <c r="N28" s="325">
        <f>SUM(N23:N27)</f>
        <v>1680</v>
      </c>
    </row>
    <row r="29" spans="1:14" s="95" customFormat="1" ht="12.75">
      <c r="A29" s="326" t="s">
        <v>181</v>
      </c>
      <c r="B29" s="297" t="s">
        <v>173</v>
      </c>
      <c r="C29" s="298">
        <v>3026.5</v>
      </c>
      <c r="D29" s="299">
        <v>2655</v>
      </c>
      <c r="E29" s="300">
        <f>IF(C29&gt;=0.9*D29,D29,C29+0.1*D29)</f>
        <v>2655</v>
      </c>
      <c r="F29" s="292"/>
      <c r="G29" s="301">
        <f>E29+F29</f>
        <v>2655</v>
      </c>
      <c r="H29" s="302">
        <v>1.50482735833471</v>
      </c>
      <c r="I29" s="292">
        <f>E29*H29</f>
        <v>3995.316636378655</v>
      </c>
      <c r="J29" s="303"/>
      <c r="K29" s="304">
        <f>SUM(I29:J29)</f>
        <v>3995.316636378655</v>
      </c>
      <c r="L29" s="300"/>
      <c r="M29" s="305">
        <f>IF(D29&gt;C29,C29-D29,0)</f>
        <v>0</v>
      </c>
      <c r="N29" s="306">
        <f>IF(D29&lt;C29,C29-D29,0)</f>
        <v>371.5</v>
      </c>
    </row>
    <row r="30" spans="1:14" s="95" customFormat="1" ht="12.75">
      <c r="A30" s="286" t="s">
        <v>181</v>
      </c>
      <c r="B30" s="297" t="s">
        <v>174</v>
      </c>
      <c r="C30" s="298">
        <v>103</v>
      </c>
      <c r="D30" s="299">
        <v>94</v>
      </c>
      <c r="E30" s="300">
        <f>IF(C30&gt;=0.9*D30,D30,C30+0.1*D30)</f>
        <v>94</v>
      </c>
      <c r="F30" s="292"/>
      <c r="G30" s="301">
        <f>E30+F30</f>
        <v>94</v>
      </c>
      <c r="H30" s="302">
        <v>1.2</v>
      </c>
      <c r="I30" s="292">
        <f>E30*H30</f>
        <v>112.8</v>
      </c>
      <c r="J30" s="303"/>
      <c r="K30" s="304">
        <f>SUM(I30:J30)</f>
        <v>112.8</v>
      </c>
      <c r="L30" s="300"/>
      <c r="M30" s="305">
        <f>IF(D30&gt;C30,C30-D30,0)</f>
        <v>0</v>
      </c>
      <c r="N30" s="306">
        <f>IF(D30&lt;C30,C30-D30,0)</f>
        <v>9</v>
      </c>
    </row>
    <row r="31" spans="1:14" s="95" customFormat="1" ht="12.75">
      <c r="A31" s="286" t="s">
        <v>181</v>
      </c>
      <c r="B31" s="297" t="s">
        <v>175</v>
      </c>
      <c r="C31" s="298">
        <v>704</v>
      </c>
      <c r="D31" s="299">
        <v>587</v>
      </c>
      <c r="E31" s="300">
        <f>IF(C31&gt;=0.9*D31,D31,C31+0.1*D31)</f>
        <v>587</v>
      </c>
      <c r="F31" s="292"/>
      <c r="G31" s="301">
        <f>E31+F31</f>
        <v>587</v>
      </c>
      <c r="H31" s="302">
        <v>1.5221306818181817</v>
      </c>
      <c r="I31" s="292">
        <f>E31*H31</f>
        <v>893.4907102272726</v>
      </c>
      <c r="J31" s="303"/>
      <c r="K31" s="304">
        <f>SUM(I31:J31)</f>
        <v>893.4907102272726</v>
      </c>
      <c r="L31" s="300"/>
      <c r="M31" s="305">
        <f>IF(D31&gt;C31,C31-D31,0)</f>
        <v>0</v>
      </c>
      <c r="N31" s="306">
        <f>IF(D31&lt;C31,C31-D31,0)</f>
        <v>117</v>
      </c>
    </row>
    <row r="32" spans="1:14" s="95" customFormat="1" ht="12.75">
      <c r="A32" s="307" t="s">
        <v>182</v>
      </c>
      <c r="B32" s="308" t="s">
        <v>176</v>
      </c>
      <c r="C32" s="309">
        <v>39</v>
      </c>
      <c r="D32" s="310">
        <v>38</v>
      </c>
      <c r="E32" s="300">
        <f>IF(C32&gt;=0.9*D32,D32,C32+0.1*D32)</f>
        <v>38</v>
      </c>
      <c r="F32" s="327"/>
      <c r="G32" s="301">
        <f>E32+F32</f>
        <v>38</v>
      </c>
      <c r="H32" s="312">
        <v>1.9923076923076923</v>
      </c>
      <c r="I32" s="292">
        <f>E32*H32</f>
        <v>75.70769230769231</v>
      </c>
      <c r="J32" s="311"/>
      <c r="K32" s="304">
        <f>SUM(I32:J32)</f>
        <v>75.70769230769231</v>
      </c>
      <c r="L32" s="313"/>
      <c r="M32" s="305">
        <f>IF(D32&gt;C32,C32-D32,0)</f>
        <v>0</v>
      </c>
      <c r="N32" s="306">
        <f>IF(D32&lt;C32,C32-D32,0)</f>
        <v>1</v>
      </c>
    </row>
    <row r="33" spans="1:14" s="95" customFormat="1" ht="13.5" thickBot="1">
      <c r="A33" s="328" t="s">
        <v>181</v>
      </c>
      <c r="B33" s="315" t="s">
        <v>177</v>
      </c>
      <c r="C33" s="298">
        <v>5686.5</v>
      </c>
      <c r="D33" s="299">
        <v>5484</v>
      </c>
      <c r="E33" s="300">
        <f>IF(C33&lt;D33,C33,D33)</f>
        <v>5484</v>
      </c>
      <c r="F33" s="327"/>
      <c r="G33" s="301">
        <f>E33+F33</f>
        <v>5484</v>
      </c>
      <c r="H33" s="302">
        <v>1.4694856238459508</v>
      </c>
      <c r="I33" s="292">
        <f>E33*H33</f>
        <v>8058.659161171195</v>
      </c>
      <c r="J33" s="311"/>
      <c r="K33" s="304">
        <f>SUM(I33:J33)</f>
        <v>8058.659161171195</v>
      </c>
      <c r="L33" s="313"/>
      <c r="M33" s="305">
        <f>IF(D33&gt;C33,C33-D33,0)</f>
        <v>0</v>
      </c>
      <c r="N33" s="306">
        <f>IF(D33&lt;C33,C33-D33,0)</f>
        <v>202.5</v>
      </c>
    </row>
    <row r="34" spans="1:14" s="95" customFormat="1" ht="13.5" thickBot="1">
      <c r="A34" s="316" t="s">
        <v>181</v>
      </c>
      <c r="B34" s="317" t="s">
        <v>178</v>
      </c>
      <c r="C34" s="318">
        <v>9559</v>
      </c>
      <c r="D34" s="319">
        <f>SUM(D29:D33)</f>
        <v>8858</v>
      </c>
      <c r="E34" s="319">
        <f>SUM(E29:E33)</f>
        <v>8858</v>
      </c>
      <c r="F34" s="320">
        <f>SUM(F29:F33)</f>
        <v>0</v>
      </c>
      <c r="G34" s="321">
        <f>SUM(G29:G33)</f>
        <v>8858</v>
      </c>
      <c r="H34" s="320"/>
      <c r="I34" s="320">
        <f>SUM(I29:I33)</f>
        <v>13135.974200084815</v>
      </c>
      <c r="J34" s="320">
        <f>SUM(J29:J33)</f>
        <v>0</v>
      </c>
      <c r="K34" s="322">
        <f>SUM(K29:K33)</f>
        <v>13135.974200084815</v>
      </c>
      <c r="L34" s="323">
        <f>ROUND(K34*$N$156/$K$151,0)</f>
        <v>135538</v>
      </c>
      <c r="M34" s="324">
        <f>SUM(M29:M33)</f>
        <v>0</v>
      </c>
      <c r="N34" s="325">
        <f>SUM(N29:N33)</f>
        <v>701</v>
      </c>
    </row>
    <row r="35" spans="1:14" s="95" customFormat="1" ht="12.75">
      <c r="A35" s="326" t="s">
        <v>183</v>
      </c>
      <c r="B35" s="297" t="s">
        <v>173</v>
      </c>
      <c r="C35" s="298">
        <v>7613</v>
      </c>
      <c r="D35" s="299">
        <v>7707</v>
      </c>
      <c r="E35" s="300">
        <f>IF(C35&gt;=0.9*D35,D35,C35+0.1*D35)</f>
        <v>7707</v>
      </c>
      <c r="F35" s="303"/>
      <c r="G35" s="301">
        <f>E35+F35</f>
        <v>7707</v>
      </c>
      <c r="H35" s="302">
        <v>1.3706199921187443</v>
      </c>
      <c r="I35" s="292">
        <f>E35*H35</f>
        <v>10563.368279259163</v>
      </c>
      <c r="J35" s="303"/>
      <c r="K35" s="304">
        <f>SUM(I35:J35)</f>
        <v>10563.368279259163</v>
      </c>
      <c r="L35" s="300"/>
      <c r="M35" s="305">
        <f>IF(D35&gt;C35,C35-D35,0)</f>
        <v>-94</v>
      </c>
      <c r="N35" s="306">
        <f>IF(D35&lt;C35,C35-D35,0)</f>
        <v>0</v>
      </c>
    </row>
    <row r="36" spans="1:14" s="95" customFormat="1" ht="12.75">
      <c r="A36" s="286" t="s">
        <v>183</v>
      </c>
      <c r="B36" s="297" t="s">
        <v>174</v>
      </c>
      <c r="C36" s="298">
        <v>1188.5</v>
      </c>
      <c r="D36" s="299">
        <v>1297</v>
      </c>
      <c r="E36" s="300">
        <f>IF(C36&gt;=0.9*D36,D36,C36+0.1*D36)</f>
        <v>1297</v>
      </c>
      <c r="F36" s="303">
        <f>M236</f>
        <v>72</v>
      </c>
      <c r="G36" s="301">
        <f>E36+F36</f>
        <v>1369</v>
      </c>
      <c r="H36" s="302">
        <v>1.610769877997476</v>
      </c>
      <c r="I36" s="292">
        <f>E36*H36</f>
        <v>2089.168531762726</v>
      </c>
      <c r="J36" s="303">
        <f>N236</f>
        <v>252</v>
      </c>
      <c r="K36" s="304">
        <f>SUM(I36:J36)</f>
        <v>2341.168531762726</v>
      </c>
      <c r="L36" s="300"/>
      <c r="M36" s="305">
        <f>IF(D36&gt;C36,C36-D36,0)</f>
        <v>-108.5</v>
      </c>
      <c r="N36" s="306">
        <f>IF(D36&lt;C36,C36-D36,0)</f>
        <v>0</v>
      </c>
    </row>
    <row r="37" spans="1:14" s="95" customFormat="1" ht="12.75">
      <c r="A37" s="286" t="s">
        <v>183</v>
      </c>
      <c r="B37" s="297" t="s">
        <v>175</v>
      </c>
      <c r="C37" s="298">
        <v>4192</v>
      </c>
      <c r="D37" s="299">
        <v>3722</v>
      </c>
      <c r="E37" s="300">
        <f>IF(C37&gt;=0.9*D37,D37,C37+0.1*D37)</f>
        <v>3722</v>
      </c>
      <c r="F37" s="303"/>
      <c r="G37" s="301">
        <f>E37+F37</f>
        <v>3722</v>
      </c>
      <c r="H37" s="302">
        <v>1.3138430343511451</v>
      </c>
      <c r="I37" s="292">
        <f>E37*H37</f>
        <v>4890.123773854963</v>
      </c>
      <c r="J37" s="303"/>
      <c r="K37" s="304">
        <f>SUM(I37:J37)</f>
        <v>4890.123773854963</v>
      </c>
      <c r="L37" s="300"/>
      <c r="M37" s="305">
        <f>IF(D37&gt;C37,C37-D37,0)</f>
        <v>0</v>
      </c>
      <c r="N37" s="306">
        <f>IF(D37&lt;C37,C37-D37,0)</f>
        <v>470</v>
      </c>
    </row>
    <row r="38" spans="1:14" s="95" customFormat="1" ht="12.75">
      <c r="A38" s="307" t="s">
        <v>183</v>
      </c>
      <c r="B38" s="308" t="s">
        <v>176</v>
      </c>
      <c r="C38" s="309">
        <v>703</v>
      </c>
      <c r="D38" s="310">
        <v>640</v>
      </c>
      <c r="E38" s="300">
        <f>IF(C38&gt;=0.9*D38,D38,C38+0.1*D38)</f>
        <v>640</v>
      </c>
      <c r="F38" s="311">
        <f>M237</f>
        <v>3</v>
      </c>
      <c r="G38" s="301">
        <f>E38+F38</f>
        <v>643</v>
      </c>
      <c r="H38" s="312">
        <v>1.7774537695590327</v>
      </c>
      <c r="I38" s="292">
        <f>E38*H38</f>
        <v>1137.5704125177808</v>
      </c>
      <c r="J38" s="311">
        <f>N237</f>
        <v>8.4</v>
      </c>
      <c r="K38" s="304">
        <f>SUM(I38:J38)</f>
        <v>1145.970412517781</v>
      </c>
      <c r="L38" s="313"/>
      <c r="M38" s="305">
        <f>IF(D38&gt;C38,C38-D38,0)</f>
        <v>0</v>
      </c>
      <c r="N38" s="306">
        <f>IF(D38&lt;C38,C38-D38,0)</f>
        <v>63</v>
      </c>
    </row>
    <row r="39" spans="1:14" s="95" customFormat="1" ht="13.5" thickBot="1">
      <c r="A39" s="328" t="s">
        <v>183</v>
      </c>
      <c r="B39" s="315" t="s">
        <v>177</v>
      </c>
      <c r="C39" s="298">
        <v>22732.5</v>
      </c>
      <c r="D39" s="299">
        <v>22345</v>
      </c>
      <c r="E39" s="300">
        <f>IF(C39&lt;D39,C39,D39)</f>
        <v>22345</v>
      </c>
      <c r="F39" s="311">
        <f>M238</f>
        <v>294.5</v>
      </c>
      <c r="G39" s="301">
        <f>E39+F39</f>
        <v>22639.5</v>
      </c>
      <c r="H39" s="302">
        <v>1.4353040800615857</v>
      </c>
      <c r="I39" s="292">
        <f>E39*H39</f>
        <v>32071.869668976135</v>
      </c>
      <c r="J39" s="311">
        <f>N238</f>
        <v>1020.25</v>
      </c>
      <c r="K39" s="304">
        <f>SUM(I39:J39)</f>
        <v>33092.119668976135</v>
      </c>
      <c r="L39" s="313"/>
      <c r="M39" s="305">
        <f>IF(D39&gt;C39,C39-D39,0)</f>
        <v>0</v>
      </c>
      <c r="N39" s="306">
        <f>IF(D39&lt;C39,C39-D39,0)</f>
        <v>387.5</v>
      </c>
    </row>
    <row r="40" spans="1:14" s="95" customFormat="1" ht="13.5" thickBot="1">
      <c r="A40" s="316" t="s">
        <v>183</v>
      </c>
      <c r="B40" s="317" t="s">
        <v>178</v>
      </c>
      <c r="C40" s="318">
        <v>36429</v>
      </c>
      <c r="D40" s="319">
        <f>SUM(D35:D39)</f>
        <v>35711</v>
      </c>
      <c r="E40" s="319">
        <f>SUM(E35:E39)</f>
        <v>35711</v>
      </c>
      <c r="F40" s="320">
        <f>SUM(F35:F39)</f>
        <v>369.5</v>
      </c>
      <c r="G40" s="321">
        <f>SUM(G35:G39)</f>
        <v>36080.5</v>
      </c>
      <c r="H40" s="320"/>
      <c r="I40" s="320">
        <f>SUM(I35:I39)</f>
        <v>50752.10066637077</v>
      </c>
      <c r="J40" s="320">
        <f>SUM(J35:J39)</f>
        <v>1280.65</v>
      </c>
      <c r="K40" s="322">
        <f>SUM(K35:K39)</f>
        <v>52032.75066637077</v>
      </c>
      <c r="L40" s="323">
        <f>ROUND(K40*$N$156/$K$151,0)</f>
        <v>536876</v>
      </c>
      <c r="M40" s="324">
        <f>SUM(M35:M39)</f>
        <v>-202.5</v>
      </c>
      <c r="N40" s="325">
        <f>SUM(N35:N39)</f>
        <v>920.5</v>
      </c>
    </row>
    <row r="41" spans="1:14" s="95" customFormat="1" ht="12.75">
      <c r="A41" s="329" t="s">
        <v>184</v>
      </c>
      <c r="B41" s="297" t="s">
        <v>173</v>
      </c>
      <c r="C41" s="298">
        <v>4306</v>
      </c>
      <c r="D41" s="299">
        <v>3785</v>
      </c>
      <c r="E41" s="300">
        <f>IF(C41&gt;=0.9*D41,D41,C41+0.1*D41)</f>
        <v>3785</v>
      </c>
      <c r="F41" s="303"/>
      <c r="G41" s="301">
        <f>E41+F41</f>
        <v>3785</v>
      </c>
      <c r="H41" s="302">
        <v>1.520387830933581</v>
      </c>
      <c r="I41" s="292">
        <f>E41*H41</f>
        <v>5754.667940083604</v>
      </c>
      <c r="J41" s="303"/>
      <c r="K41" s="304">
        <f>SUM(I41:J41)</f>
        <v>5754.667940083604</v>
      </c>
      <c r="L41" s="300"/>
      <c r="M41" s="305">
        <f>IF(D41&gt;C41,C41-D41,0)</f>
        <v>0</v>
      </c>
      <c r="N41" s="306">
        <f>IF(D41&lt;C41,C41-D41,0)</f>
        <v>521</v>
      </c>
    </row>
    <row r="42" spans="1:14" s="95" customFormat="1" ht="12.75">
      <c r="A42" s="296" t="s">
        <v>184</v>
      </c>
      <c r="B42" s="297" t="s">
        <v>174</v>
      </c>
      <c r="C42" s="298">
        <v>695</v>
      </c>
      <c r="D42" s="299">
        <v>689</v>
      </c>
      <c r="E42" s="300">
        <f>IF(C42&gt;=0.9*D42,D42,C42+0.1*D42)</f>
        <v>689</v>
      </c>
      <c r="F42" s="303">
        <f>M240</f>
        <v>81.5</v>
      </c>
      <c r="G42" s="301">
        <f>E42+F42</f>
        <v>770.5</v>
      </c>
      <c r="H42" s="302">
        <v>1.5926618705035973</v>
      </c>
      <c r="I42" s="292">
        <f>E42*H42</f>
        <v>1097.3440287769786</v>
      </c>
      <c r="J42" s="303">
        <f>N240</f>
        <v>285.25</v>
      </c>
      <c r="K42" s="304">
        <f>SUM(I42:J42)</f>
        <v>1382.5940287769786</v>
      </c>
      <c r="L42" s="300"/>
      <c r="M42" s="305">
        <f>IF(D42&gt;C42,C42-D42,0)</f>
        <v>0</v>
      </c>
      <c r="N42" s="306">
        <f>IF(D42&lt;C42,C42-D42,0)</f>
        <v>6</v>
      </c>
    </row>
    <row r="43" spans="1:14" s="95" customFormat="1" ht="12.75">
      <c r="A43" s="296" t="s">
        <v>184</v>
      </c>
      <c r="B43" s="297" t="s">
        <v>175</v>
      </c>
      <c r="C43" s="298">
        <v>1894.5</v>
      </c>
      <c r="D43" s="299">
        <v>1682</v>
      </c>
      <c r="E43" s="300">
        <f>IF(C43&gt;=0.9*D43,D43,C43+0.1*D43)</f>
        <v>1682</v>
      </c>
      <c r="F43" s="303"/>
      <c r="G43" s="301">
        <f>E43+F43</f>
        <v>1682</v>
      </c>
      <c r="H43" s="302">
        <v>1.4549221430456585</v>
      </c>
      <c r="I43" s="292">
        <f>E43*H43</f>
        <v>2447.1790446027976</v>
      </c>
      <c r="J43" s="303"/>
      <c r="K43" s="304">
        <f>SUM(I43:J43)</f>
        <v>2447.1790446027976</v>
      </c>
      <c r="L43" s="300"/>
      <c r="M43" s="305">
        <f>IF(D43&gt;C43,C43-D43,0)</f>
        <v>0</v>
      </c>
      <c r="N43" s="306">
        <f>IF(D43&lt;C43,C43-D43,0)</f>
        <v>212.5</v>
      </c>
    </row>
    <row r="44" spans="1:14" s="95" customFormat="1" ht="12.75">
      <c r="A44" s="307" t="s">
        <v>184</v>
      </c>
      <c r="B44" s="308" t="s">
        <v>176</v>
      </c>
      <c r="C44" s="309">
        <v>334</v>
      </c>
      <c r="D44" s="310">
        <v>331</v>
      </c>
      <c r="E44" s="300">
        <f>IF(C44&gt;=0.9*D44,D44,C44+0.1*D44)</f>
        <v>331</v>
      </c>
      <c r="F44" s="311">
        <f>M241</f>
        <v>9</v>
      </c>
      <c r="G44" s="301">
        <f>E44+F44</f>
        <v>340</v>
      </c>
      <c r="H44" s="312">
        <v>1.808622754491018</v>
      </c>
      <c r="I44" s="292">
        <f>E44*H44</f>
        <v>598.654131736527</v>
      </c>
      <c r="J44" s="311">
        <f>N241</f>
        <v>25.2</v>
      </c>
      <c r="K44" s="304">
        <f>SUM(I44:J44)</f>
        <v>623.854131736527</v>
      </c>
      <c r="L44" s="313"/>
      <c r="M44" s="305">
        <f>IF(D44&gt;C44,C44-D44,0)</f>
        <v>0</v>
      </c>
      <c r="N44" s="306">
        <f>IF(D44&lt;C44,C44-D44,0)</f>
        <v>3</v>
      </c>
    </row>
    <row r="45" spans="1:14" s="95" customFormat="1" ht="13.5" thickBot="1">
      <c r="A45" s="314" t="s">
        <v>184</v>
      </c>
      <c r="B45" s="315" t="s">
        <v>177</v>
      </c>
      <c r="C45" s="298">
        <v>12655.5</v>
      </c>
      <c r="D45" s="299">
        <v>12169</v>
      </c>
      <c r="E45" s="300">
        <f>IF(C45&lt;D45,C45,D45)</f>
        <v>12169</v>
      </c>
      <c r="F45" s="311">
        <f>M242</f>
        <v>359</v>
      </c>
      <c r="G45" s="301">
        <f>E45+F45</f>
        <v>12528</v>
      </c>
      <c r="H45" s="302">
        <v>1.4871099521946978</v>
      </c>
      <c r="I45" s="292">
        <f>E45*H45</f>
        <v>18096.641008257277</v>
      </c>
      <c r="J45" s="311">
        <f>N242</f>
        <v>1239</v>
      </c>
      <c r="K45" s="304">
        <f>SUM(I45:J45)</f>
        <v>19335.641008257277</v>
      </c>
      <c r="L45" s="313"/>
      <c r="M45" s="305">
        <f>IF(D45&gt;C45,C45-D45,0)</f>
        <v>0</v>
      </c>
      <c r="N45" s="306">
        <f>IF(D45&lt;C45,C45-D45,0)</f>
        <v>486.5</v>
      </c>
    </row>
    <row r="46" spans="1:14" s="95" customFormat="1" ht="13.5" thickBot="1">
      <c r="A46" s="316" t="s">
        <v>184</v>
      </c>
      <c r="B46" s="317" t="s">
        <v>178</v>
      </c>
      <c r="C46" s="318">
        <v>19885</v>
      </c>
      <c r="D46" s="319">
        <f>SUM(D41:D45)</f>
        <v>18656</v>
      </c>
      <c r="E46" s="319">
        <f>SUM(E41:E45)</f>
        <v>18656</v>
      </c>
      <c r="F46" s="320">
        <f>SUM(F41:F45)</f>
        <v>449.5</v>
      </c>
      <c r="G46" s="321">
        <f>SUM(G41:G45)</f>
        <v>19105.5</v>
      </c>
      <c r="H46" s="320"/>
      <c r="I46" s="320">
        <f>SUM(I41:I45)</f>
        <v>27994.486153457183</v>
      </c>
      <c r="J46" s="320">
        <f>SUM(J41:J45)</f>
        <v>1549.45</v>
      </c>
      <c r="K46" s="322">
        <f>SUM(K41:K45)</f>
        <v>29543.936153457184</v>
      </c>
      <c r="L46" s="323">
        <f>ROUND(K46*$N$156/$K$151,0)</f>
        <v>304836</v>
      </c>
      <c r="M46" s="324">
        <f>SUM(M41:M45)</f>
        <v>0</v>
      </c>
      <c r="N46" s="325">
        <f>SUM(N41:N45)</f>
        <v>1229</v>
      </c>
    </row>
    <row r="47" spans="1:14" s="95" customFormat="1" ht="12.75">
      <c r="A47" s="326" t="s">
        <v>119</v>
      </c>
      <c r="B47" s="297" t="s">
        <v>173</v>
      </c>
      <c r="C47" s="298">
        <v>167</v>
      </c>
      <c r="D47" s="299">
        <v>131</v>
      </c>
      <c r="E47" s="300">
        <f>IF(C47&gt;=0.9*D47,D47,C47+0.1*D47)</f>
        <v>131</v>
      </c>
      <c r="F47" s="292"/>
      <c r="G47" s="301">
        <f>E47+F47</f>
        <v>131</v>
      </c>
      <c r="H47" s="302">
        <v>3.5</v>
      </c>
      <c r="I47" s="292">
        <f>E47*H47</f>
        <v>458.5</v>
      </c>
      <c r="J47" s="303"/>
      <c r="K47" s="304">
        <f>SUM(I47:J47)</f>
        <v>458.5</v>
      </c>
      <c r="L47" s="300"/>
      <c r="M47" s="305">
        <f>IF(D47&gt;C47,C47-D47,0)</f>
        <v>0</v>
      </c>
      <c r="N47" s="306">
        <f>IF(D47&lt;C47,C47-D47,0)</f>
        <v>36</v>
      </c>
    </row>
    <row r="48" spans="1:14" s="95" customFormat="1" ht="12.75">
      <c r="A48" s="286" t="s">
        <v>119</v>
      </c>
      <c r="B48" s="297" t="s">
        <v>174</v>
      </c>
      <c r="C48" s="298">
        <v>405.5</v>
      </c>
      <c r="D48" s="310">
        <v>405</v>
      </c>
      <c r="E48" s="300">
        <f>IF(C48&gt;=0.9*D48,D48,C48+0.1*D48)</f>
        <v>405</v>
      </c>
      <c r="F48" s="292"/>
      <c r="G48" s="301">
        <f>E48+F48</f>
        <v>405</v>
      </c>
      <c r="H48" s="302">
        <v>3.0422441430332925</v>
      </c>
      <c r="I48" s="292">
        <f>E48*H48</f>
        <v>1232.1088779284835</v>
      </c>
      <c r="J48" s="303"/>
      <c r="K48" s="304">
        <f>SUM(I48:J48)</f>
        <v>1232.1088779284835</v>
      </c>
      <c r="L48" s="300"/>
      <c r="M48" s="305">
        <f>IF(D48&gt;C48,C48-D48,0)</f>
        <v>0</v>
      </c>
      <c r="N48" s="306">
        <f>IF(D48&lt;C48,C48-D48,0)</f>
        <v>0.5</v>
      </c>
    </row>
    <row r="49" spans="1:14" s="95" customFormat="1" ht="12.75">
      <c r="A49" s="286" t="s">
        <v>119</v>
      </c>
      <c r="B49" s="297" t="s">
        <v>175</v>
      </c>
      <c r="C49" s="298">
        <v>51</v>
      </c>
      <c r="D49" s="310">
        <v>51</v>
      </c>
      <c r="E49" s="300">
        <f>IF(C49&gt;=0.9*D49,D49,C49+0.1*D49)</f>
        <v>51</v>
      </c>
      <c r="F49" s="292"/>
      <c r="G49" s="301">
        <f>E49+F49</f>
        <v>51</v>
      </c>
      <c r="H49" s="302">
        <v>3.5</v>
      </c>
      <c r="I49" s="292">
        <f>E49*H49</f>
        <v>178.5</v>
      </c>
      <c r="J49" s="303"/>
      <c r="K49" s="304">
        <f>SUM(I49:J49)</f>
        <v>178.5</v>
      </c>
      <c r="L49" s="300"/>
      <c r="M49" s="305">
        <f>IF(D49&gt;C49,C49-D49,0)</f>
        <v>0</v>
      </c>
      <c r="N49" s="306">
        <f>IF(D49&lt;C49,C49-D49,0)</f>
        <v>0</v>
      </c>
    </row>
    <row r="50" spans="1:14" s="95" customFormat="1" ht="12.75">
      <c r="A50" s="307" t="s">
        <v>119</v>
      </c>
      <c r="B50" s="308" t="s">
        <v>176</v>
      </c>
      <c r="C50" s="309">
        <v>63.5</v>
      </c>
      <c r="D50" s="310">
        <v>63</v>
      </c>
      <c r="E50" s="300">
        <f>IF(C50&gt;=0.9*D50,D50,C50+0.1*D50)</f>
        <v>63</v>
      </c>
      <c r="F50" s="327"/>
      <c r="G50" s="301">
        <f>E50+F50</f>
        <v>63</v>
      </c>
      <c r="H50" s="312">
        <v>3.145669291338583</v>
      </c>
      <c r="I50" s="292">
        <f>E50*H50</f>
        <v>198.17716535433073</v>
      </c>
      <c r="J50" s="311"/>
      <c r="K50" s="304">
        <f>SUM(I50:J50)</f>
        <v>198.17716535433073</v>
      </c>
      <c r="L50" s="313"/>
      <c r="M50" s="305">
        <f>IF(D50&gt;C50,C50-D50,0)</f>
        <v>0</v>
      </c>
      <c r="N50" s="306">
        <f>IF(D50&lt;C50,C50-D50,0)</f>
        <v>0.5</v>
      </c>
    </row>
    <row r="51" spans="1:14" s="95" customFormat="1" ht="13.5" thickBot="1">
      <c r="A51" s="328" t="s">
        <v>119</v>
      </c>
      <c r="B51" s="315" t="s">
        <v>177</v>
      </c>
      <c r="C51" s="298">
        <v>1966</v>
      </c>
      <c r="D51" s="299">
        <v>1935</v>
      </c>
      <c r="E51" s="300">
        <f>IF(C51&lt;D51,C51,D51)</f>
        <v>1935</v>
      </c>
      <c r="F51" s="327"/>
      <c r="G51" s="301">
        <f>E51+F51</f>
        <v>1935</v>
      </c>
      <c r="H51" s="302">
        <v>3.1070752797558496</v>
      </c>
      <c r="I51" s="292">
        <f>E51*H51</f>
        <v>6012.190666327569</v>
      </c>
      <c r="J51" s="311"/>
      <c r="K51" s="304">
        <f>SUM(I51:J51)</f>
        <v>6012.190666327569</v>
      </c>
      <c r="L51" s="313"/>
      <c r="M51" s="305">
        <f>IF(D51&gt;C51,C51-D51,0)</f>
        <v>0</v>
      </c>
      <c r="N51" s="306">
        <f>IF(D51&lt;C51,C51-D51,0)</f>
        <v>31</v>
      </c>
    </row>
    <row r="52" spans="1:14" s="95" customFormat="1" ht="13.5" thickBot="1">
      <c r="A52" s="316" t="s">
        <v>119</v>
      </c>
      <c r="B52" s="317" t="s">
        <v>178</v>
      </c>
      <c r="C52" s="318">
        <v>2653</v>
      </c>
      <c r="D52" s="319">
        <f>SUM(D47:D51)</f>
        <v>2585</v>
      </c>
      <c r="E52" s="319">
        <f>SUM(E47:E51)</f>
        <v>2585</v>
      </c>
      <c r="F52" s="320">
        <f>SUM(F47:F51)</f>
        <v>0</v>
      </c>
      <c r="G52" s="321">
        <f>SUM(G47:G51)</f>
        <v>2585</v>
      </c>
      <c r="H52" s="320"/>
      <c r="I52" s="320">
        <f>SUM(I47:I51)</f>
        <v>8079.476709610382</v>
      </c>
      <c r="J52" s="320">
        <f>SUM(J47:J51)</f>
        <v>0</v>
      </c>
      <c r="K52" s="322">
        <f>SUM(K47:K51)</f>
        <v>8079.476709610382</v>
      </c>
      <c r="L52" s="323">
        <f>ROUND(K52*$N$156/$K$151,0)</f>
        <v>83364</v>
      </c>
      <c r="M52" s="324">
        <f>SUM(M47:M51)</f>
        <v>0</v>
      </c>
      <c r="N52" s="325">
        <f>SUM(N47:N51)</f>
        <v>68</v>
      </c>
    </row>
    <row r="53" spans="1:14" s="95" customFormat="1" ht="12.75">
      <c r="A53" s="326" t="s">
        <v>185</v>
      </c>
      <c r="B53" s="297" t="s">
        <v>173</v>
      </c>
      <c r="C53" s="298">
        <v>2691.5</v>
      </c>
      <c r="D53" s="299">
        <v>2277</v>
      </c>
      <c r="E53" s="300">
        <f>IF(C53&gt;=0.9*D53,D53,C53+0.1*D53)</f>
        <v>2277</v>
      </c>
      <c r="F53" s="292"/>
      <c r="G53" s="301">
        <f>E53+F53</f>
        <v>2277</v>
      </c>
      <c r="H53" s="302">
        <v>1.5780494148244473</v>
      </c>
      <c r="I53" s="292">
        <f>E53*H53</f>
        <v>3593.2185175552663</v>
      </c>
      <c r="J53" s="303"/>
      <c r="K53" s="304">
        <f>SUM(I53:J53)</f>
        <v>3593.2185175552663</v>
      </c>
      <c r="L53" s="300"/>
      <c r="M53" s="305">
        <f>IF(D53&gt;C53,C53-D53,0)</f>
        <v>0</v>
      </c>
      <c r="N53" s="306">
        <f>IF(D53&lt;C53,C53-D53,0)</f>
        <v>414.5</v>
      </c>
    </row>
    <row r="54" spans="1:14" s="95" customFormat="1" ht="12.75">
      <c r="A54" s="286" t="s">
        <v>185</v>
      </c>
      <c r="B54" s="297" t="s">
        <v>174</v>
      </c>
      <c r="C54" s="298">
        <v>232.5</v>
      </c>
      <c r="D54" s="299">
        <v>186</v>
      </c>
      <c r="E54" s="300">
        <f>IF(C54&gt;=0.9*D54,D54,C54+0.1*D54)</f>
        <v>186</v>
      </c>
      <c r="F54" s="292"/>
      <c r="G54" s="301">
        <f>E54+F54</f>
        <v>186</v>
      </c>
      <c r="H54" s="302">
        <v>1.929462365591398</v>
      </c>
      <c r="I54" s="292">
        <f>E54*H54</f>
        <v>358.88000000000005</v>
      </c>
      <c r="J54" s="303"/>
      <c r="K54" s="304">
        <f>SUM(I54:J54)</f>
        <v>358.88000000000005</v>
      </c>
      <c r="L54" s="300"/>
      <c r="M54" s="305">
        <f>IF(D54&gt;C54,C54-D54,0)</f>
        <v>0</v>
      </c>
      <c r="N54" s="306">
        <f>IF(D54&lt;C54,C54-D54,0)</f>
        <v>46.5</v>
      </c>
    </row>
    <row r="55" spans="1:14" s="95" customFormat="1" ht="12.75">
      <c r="A55" s="286" t="s">
        <v>185</v>
      </c>
      <c r="B55" s="297" t="s">
        <v>175</v>
      </c>
      <c r="C55" s="298">
        <v>1097</v>
      </c>
      <c r="D55" s="299">
        <v>790</v>
      </c>
      <c r="E55" s="300">
        <f>IF(C55&gt;=0.9*D55,D55,C55+0.1*D55)</f>
        <v>790</v>
      </c>
      <c r="F55" s="292"/>
      <c r="G55" s="301">
        <f>E55+F55</f>
        <v>790</v>
      </c>
      <c r="H55" s="302">
        <v>1.6084867821330902</v>
      </c>
      <c r="I55" s="292">
        <f>E55*H55</f>
        <v>1270.7045578851412</v>
      </c>
      <c r="J55" s="303"/>
      <c r="K55" s="304">
        <f>SUM(I55:J55)</f>
        <v>1270.7045578851412</v>
      </c>
      <c r="L55" s="300"/>
      <c r="M55" s="305">
        <f>IF(D55&gt;C55,C55-D55,0)</f>
        <v>0</v>
      </c>
      <c r="N55" s="306">
        <f>IF(D55&lt;C55,C55-D55,0)</f>
        <v>307</v>
      </c>
    </row>
    <row r="56" spans="1:14" s="95" customFormat="1" ht="12.75">
      <c r="A56" s="307" t="s">
        <v>185</v>
      </c>
      <c r="B56" s="308" t="s">
        <v>176</v>
      </c>
      <c r="C56" s="309">
        <v>106</v>
      </c>
      <c r="D56" s="310">
        <v>68</v>
      </c>
      <c r="E56" s="300">
        <f>IF(C56&gt;=0.9*D56,D56,C56+0.1*D56)</f>
        <v>68</v>
      </c>
      <c r="F56" s="327"/>
      <c r="G56" s="301">
        <f>E56+F56</f>
        <v>68</v>
      </c>
      <c r="H56" s="312">
        <v>1.7089622641509434</v>
      </c>
      <c r="I56" s="292">
        <f>E56*H56</f>
        <v>116.20943396226416</v>
      </c>
      <c r="J56" s="311"/>
      <c r="K56" s="304">
        <f>SUM(I56:J56)</f>
        <v>116.20943396226416</v>
      </c>
      <c r="L56" s="313"/>
      <c r="M56" s="305">
        <f>IF(D56&gt;C56,C56-D56,0)</f>
        <v>0</v>
      </c>
      <c r="N56" s="306">
        <f>IF(D56&lt;C56,C56-D56,0)</f>
        <v>38</v>
      </c>
    </row>
    <row r="57" spans="1:14" s="95" customFormat="1" ht="13.5" thickBot="1">
      <c r="A57" s="328" t="s">
        <v>185</v>
      </c>
      <c r="B57" s="315" t="s">
        <v>177</v>
      </c>
      <c r="C57" s="298">
        <v>5837</v>
      </c>
      <c r="D57" s="299">
        <v>4981</v>
      </c>
      <c r="E57" s="300">
        <f>IF(C57&lt;D57,C57,D57)</f>
        <v>4981</v>
      </c>
      <c r="F57" s="327"/>
      <c r="G57" s="301">
        <f>E57+F57</f>
        <v>4981</v>
      </c>
      <c r="H57" s="302">
        <v>1.6145639883501797</v>
      </c>
      <c r="I57" s="292">
        <f>E57*H57</f>
        <v>8042.143225972245</v>
      </c>
      <c r="J57" s="311"/>
      <c r="K57" s="304">
        <f>SUM(I57:J57)</f>
        <v>8042.143225972245</v>
      </c>
      <c r="L57" s="313"/>
      <c r="M57" s="305">
        <f>IF(D57&gt;C57,C57-D57,0)</f>
        <v>0</v>
      </c>
      <c r="N57" s="306">
        <f>IF(D57&lt;C57,C57-D57,0)</f>
        <v>856</v>
      </c>
    </row>
    <row r="58" spans="1:14" s="95" customFormat="1" ht="13.5" thickBot="1">
      <c r="A58" s="316" t="s">
        <v>185</v>
      </c>
      <c r="B58" s="317" t="s">
        <v>178</v>
      </c>
      <c r="C58" s="318">
        <v>9964</v>
      </c>
      <c r="D58" s="319">
        <f>SUM(D53:D57)</f>
        <v>8302</v>
      </c>
      <c r="E58" s="319">
        <f>SUM(E53:E57)</f>
        <v>8302</v>
      </c>
      <c r="F58" s="320">
        <f>SUM(F53:F57)</f>
        <v>0</v>
      </c>
      <c r="G58" s="321">
        <f>SUM(G53:G57)</f>
        <v>8302</v>
      </c>
      <c r="H58" s="320"/>
      <c r="I58" s="320">
        <f>SUM(I53:I57)</f>
        <v>13381.155735374918</v>
      </c>
      <c r="J58" s="320">
        <f>SUM(J53:J57)</f>
        <v>0</v>
      </c>
      <c r="K58" s="322">
        <f>SUM(K53:K57)</f>
        <v>13381.155735374918</v>
      </c>
      <c r="L58" s="323">
        <f>ROUND(K58*$N$156/$K$151,0)</f>
        <v>138067</v>
      </c>
      <c r="M58" s="324">
        <f>SUM(M53:M57)</f>
        <v>0</v>
      </c>
      <c r="N58" s="325">
        <f>SUM(N53:N57)</f>
        <v>1662</v>
      </c>
    </row>
    <row r="59" spans="1:14" s="95" customFormat="1" ht="12.75">
      <c r="A59" s="330" t="s">
        <v>186</v>
      </c>
      <c r="B59" s="297" t="s">
        <v>173</v>
      </c>
      <c r="C59" s="298">
        <v>2327</v>
      </c>
      <c r="D59" s="299">
        <v>1774</v>
      </c>
      <c r="E59" s="300">
        <f>IF(C59&gt;=0.9*D59,D59,C59+0.1*D59)</f>
        <v>1774</v>
      </c>
      <c r="F59" s="292"/>
      <c r="G59" s="301">
        <f>E59+F59</f>
        <v>1774</v>
      </c>
      <c r="H59" s="302">
        <v>1.3187924366136656</v>
      </c>
      <c r="I59" s="292">
        <f>E59*H59</f>
        <v>2339.537782552643</v>
      </c>
      <c r="J59" s="303"/>
      <c r="K59" s="304">
        <f>SUM(I59:J59)</f>
        <v>2339.537782552643</v>
      </c>
      <c r="L59" s="300"/>
      <c r="M59" s="305">
        <f>IF(D59&gt;C59,C59-D59,0)</f>
        <v>0</v>
      </c>
      <c r="N59" s="306">
        <f>IF(D59&lt;C59,C59-D59,0)</f>
        <v>553</v>
      </c>
    </row>
    <row r="60" spans="1:14" s="95" customFormat="1" ht="12.75">
      <c r="A60" s="296" t="s">
        <v>186</v>
      </c>
      <c r="B60" s="297" t="s">
        <v>174</v>
      </c>
      <c r="C60" s="298">
        <v>89</v>
      </c>
      <c r="D60" s="299">
        <v>75</v>
      </c>
      <c r="E60" s="300">
        <f>IF(C60&gt;=0.9*D60,D60,C60+0.1*D60)</f>
        <v>75</v>
      </c>
      <c r="F60" s="292"/>
      <c r="G60" s="301">
        <f>E60+F60</f>
        <v>75</v>
      </c>
      <c r="H60" s="302">
        <v>1.2</v>
      </c>
      <c r="I60" s="292">
        <f>E60*H60</f>
        <v>90</v>
      </c>
      <c r="J60" s="303"/>
      <c r="K60" s="304">
        <f>SUM(I60:J60)</f>
        <v>90</v>
      </c>
      <c r="L60" s="300"/>
      <c r="M60" s="305">
        <f>IF(D60&gt;C60,C60-D60,0)</f>
        <v>0</v>
      </c>
      <c r="N60" s="306">
        <f>IF(D60&lt;C60,C60-D60,0)</f>
        <v>14</v>
      </c>
    </row>
    <row r="61" spans="1:14" s="95" customFormat="1" ht="12.75">
      <c r="A61" s="296" t="s">
        <v>186</v>
      </c>
      <c r="B61" s="297" t="s">
        <v>175</v>
      </c>
      <c r="C61" s="298">
        <v>664</v>
      </c>
      <c r="D61" s="299">
        <v>549</v>
      </c>
      <c r="E61" s="300">
        <f>IF(C61&gt;=0.9*D61,D61,C61+0.1*D61)</f>
        <v>549</v>
      </c>
      <c r="F61" s="292"/>
      <c r="G61" s="301">
        <f>E61+F61</f>
        <v>549</v>
      </c>
      <c r="H61" s="302">
        <v>1.320105421686747</v>
      </c>
      <c r="I61" s="292">
        <f>E61*H61</f>
        <v>724.7378765060241</v>
      </c>
      <c r="J61" s="303"/>
      <c r="K61" s="304">
        <f>SUM(I61:J61)</f>
        <v>724.7378765060241</v>
      </c>
      <c r="L61" s="300"/>
      <c r="M61" s="305">
        <f>IF(D61&gt;C61,C61-D61,0)</f>
        <v>0</v>
      </c>
      <c r="N61" s="306">
        <f>IF(D61&lt;C61,C61-D61,0)</f>
        <v>115</v>
      </c>
    </row>
    <row r="62" spans="1:14" s="95" customFormat="1" ht="12.75">
      <c r="A62" s="331" t="s">
        <v>187</v>
      </c>
      <c r="B62" s="308" t="s">
        <v>176</v>
      </c>
      <c r="C62" s="309">
        <v>47</v>
      </c>
      <c r="D62" s="310">
        <v>35</v>
      </c>
      <c r="E62" s="300">
        <f>IF(C62&gt;=0.9*D62,D62,C62+0.1*D62)</f>
        <v>35</v>
      </c>
      <c r="F62" s="327"/>
      <c r="G62" s="301">
        <f>E62+F62</f>
        <v>35</v>
      </c>
      <c r="H62" s="312">
        <v>1.4085106382978725</v>
      </c>
      <c r="I62" s="292">
        <f>E62*H62</f>
        <v>49.297872340425535</v>
      </c>
      <c r="J62" s="311"/>
      <c r="K62" s="304">
        <f>SUM(I62:J62)</f>
        <v>49.297872340425535</v>
      </c>
      <c r="L62" s="313"/>
      <c r="M62" s="305">
        <f>IF(D62&gt;C62,C62-D62,0)</f>
        <v>0</v>
      </c>
      <c r="N62" s="306">
        <f>IF(D62&lt;C62,C62-D62,0)</f>
        <v>12</v>
      </c>
    </row>
    <row r="63" spans="1:14" s="95" customFormat="1" ht="13.5" thickBot="1">
      <c r="A63" s="314" t="s">
        <v>186</v>
      </c>
      <c r="B63" s="315" t="s">
        <v>177</v>
      </c>
      <c r="C63" s="298">
        <v>5026</v>
      </c>
      <c r="D63" s="299">
        <v>4601</v>
      </c>
      <c r="E63" s="300">
        <f>IF(C63&lt;D63,C63,D63)</f>
        <v>4601</v>
      </c>
      <c r="F63" s="327"/>
      <c r="G63" s="301">
        <f>E63+F63</f>
        <v>4601</v>
      </c>
      <c r="H63" s="302">
        <v>1.2886370871468364</v>
      </c>
      <c r="I63" s="292">
        <f>E63*H63</f>
        <v>5929.019237962594</v>
      </c>
      <c r="J63" s="311"/>
      <c r="K63" s="304">
        <f>SUM(I63:J63)</f>
        <v>5929.019237962594</v>
      </c>
      <c r="L63" s="313"/>
      <c r="M63" s="305">
        <f>IF(D63&gt;C63,C63-D63,0)</f>
        <v>0</v>
      </c>
      <c r="N63" s="306">
        <f>IF(D63&lt;C63,C63-D63,0)</f>
        <v>425</v>
      </c>
    </row>
    <row r="64" spans="1:14" s="95" customFormat="1" ht="13.5" thickBot="1">
      <c r="A64" s="316" t="s">
        <v>186</v>
      </c>
      <c r="B64" s="317" t="s">
        <v>178</v>
      </c>
      <c r="C64" s="318">
        <v>8153</v>
      </c>
      <c r="D64" s="319">
        <f>SUM(D59:D63)</f>
        <v>7034</v>
      </c>
      <c r="E64" s="319">
        <f>SUM(E59:E63)</f>
        <v>7034</v>
      </c>
      <c r="F64" s="320">
        <f>SUM(F59:F63)</f>
        <v>0</v>
      </c>
      <c r="G64" s="321">
        <f>SUM(G59:G63)</f>
        <v>7034</v>
      </c>
      <c r="H64" s="320"/>
      <c r="I64" s="320">
        <f>SUM(I59:I63)</f>
        <v>9132.592769361687</v>
      </c>
      <c r="J64" s="320">
        <f>SUM(J59:J63)</f>
        <v>0</v>
      </c>
      <c r="K64" s="322">
        <f>SUM(K59:K63)</f>
        <v>9132.592769361687</v>
      </c>
      <c r="L64" s="323">
        <f>ROUND(K64*$N$156/$K$151,0)</f>
        <v>94231</v>
      </c>
      <c r="M64" s="324">
        <f>SUM(M59:M63)</f>
        <v>0</v>
      </c>
      <c r="N64" s="325">
        <f>SUM(N59:N63)</f>
        <v>1119</v>
      </c>
    </row>
    <row r="65" spans="1:14" s="95" customFormat="1" ht="12.75">
      <c r="A65" s="326" t="s">
        <v>188</v>
      </c>
      <c r="B65" s="297" t="s">
        <v>173</v>
      </c>
      <c r="C65" s="298">
        <v>2418.5</v>
      </c>
      <c r="D65" s="310">
        <v>2017</v>
      </c>
      <c r="E65" s="300">
        <f>IF(C65&gt;=0.9*D65,D65,C65+0.1*D65)</f>
        <v>2017</v>
      </c>
      <c r="F65" s="292"/>
      <c r="G65" s="301">
        <f>E65+F65</f>
        <v>2017</v>
      </c>
      <c r="H65" s="302">
        <v>1.4064874922472608</v>
      </c>
      <c r="I65" s="292">
        <f>E65*H65</f>
        <v>2836.885271862725</v>
      </c>
      <c r="J65" s="303"/>
      <c r="K65" s="304">
        <f>SUM(I65:J65)</f>
        <v>2836.885271862725</v>
      </c>
      <c r="L65" s="300"/>
      <c r="M65" s="305">
        <f>IF(D65&gt;C65,C65-D65,0)</f>
        <v>0</v>
      </c>
      <c r="N65" s="306">
        <f>IF(D65&lt;C65,C65-D65,0)</f>
        <v>401.5</v>
      </c>
    </row>
    <row r="66" spans="1:14" s="95" customFormat="1" ht="12.75">
      <c r="A66" s="286" t="s">
        <v>188</v>
      </c>
      <c r="B66" s="297" t="s">
        <v>174</v>
      </c>
      <c r="C66" s="298">
        <v>0</v>
      </c>
      <c r="D66" s="310">
        <v>0</v>
      </c>
      <c r="E66" s="300">
        <f>IF(C66&gt;=0.9*D66,D66,C66+0.1*D66)</f>
        <v>0</v>
      </c>
      <c r="F66" s="292"/>
      <c r="G66" s="301">
        <f>E66+F66</f>
        <v>0</v>
      </c>
      <c r="H66" s="302"/>
      <c r="I66" s="292">
        <f>E66*H66</f>
        <v>0</v>
      </c>
      <c r="J66" s="303"/>
      <c r="K66" s="304">
        <f>SUM(I66:J66)</f>
        <v>0</v>
      </c>
      <c r="L66" s="300"/>
      <c r="M66" s="305">
        <f>IF(D66&gt;C66,C66-D66,0)</f>
        <v>0</v>
      </c>
      <c r="N66" s="306">
        <f>IF(D66&lt;C66,C66-D66,0)</f>
        <v>0</v>
      </c>
    </row>
    <row r="67" spans="1:14" s="95" customFormat="1" ht="12.75">
      <c r="A67" s="286" t="s">
        <v>188</v>
      </c>
      <c r="B67" s="297" t="s">
        <v>175</v>
      </c>
      <c r="C67" s="298">
        <v>836.5</v>
      </c>
      <c r="D67" s="310">
        <v>607</v>
      </c>
      <c r="E67" s="300">
        <f>IF(C67&gt;=0.9*D67,D67,C67+0.1*D67)</f>
        <v>607</v>
      </c>
      <c r="F67" s="292"/>
      <c r="G67" s="301">
        <f>E67+F67</f>
        <v>607</v>
      </c>
      <c r="H67" s="302">
        <v>1.1695158398087269</v>
      </c>
      <c r="I67" s="292">
        <f>E67*H67</f>
        <v>709.8961147638972</v>
      </c>
      <c r="J67" s="303"/>
      <c r="K67" s="304">
        <f>SUM(I67:J67)</f>
        <v>709.8961147638972</v>
      </c>
      <c r="L67" s="300"/>
      <c r="M67" s="305">
        <f>IF(D67&gt;C67,C67-D67,0)</f>
        <v>0</v>
      </c>
      <c r="N67" s="306">
        <f>IF(D67&lt;C67,C67-D67,0)</f>
        <v>229.5</v>
      </c>
    </row>
    <row r="68" spans="1:14" s="95" customFormat="1" ht="12.75">
      <c r="A68" s="307" t="s">
        <v>188</v>
      </c>
      <c r="B68" s="308" t="s">
        <v>176</v>
      </c>
      <c r="C68" s="309">
        <v>31</v>
      </c>
      <c r="D68" s="310">
        <v>35</v>
      </c>
      <c r="E68" s="300">
        <f>IF(C68&gt;=0.9*D68,D68,C68+0.1*D68)</f>
        <v>34.5</v>
      </c>
      <c r="F68" s="327"/>
      <c r="G68" s="301">
        <f>E68+F68</f>
        <v>34.5</v>
      </c>
      <c r="H68" s="312">
        <v>1.5661290322580643</v>
      </c>
      <c r="I68" s="292">
        <f>E68*H68</f>
        <v>54.03145161290322</v>
      </c>
      <c r="J68" s="311"/>
      <c r="K68" s="304">
        <f>SUM(I68:J68)</f>
        <v>54.03145161290322</v>
      </c>
      <c r="L68" s="313"/>
      <c r="M68" s="305">
        <f>IF(D68&gt;C68,C68-D68,0)</f>
        <v>-4</v>
      </c>
      <c r="N68" s="306">
        <f>IF(D68&lt;C68,C68-D68,0)</f>
        <v>0</v>
      </c>
    </row>
    <row r="69" spans="1:14" s="95" customFormat="1" ht="13.5" thickBot="1">
      <c r="A69" s="328" t="s">
        <v>188</v>
      </c>
      <c r="B69" s="315" t="s">
        <v>177</v>
      </c>
      <c r="C69" s="298">
        <v>3617</v>
      </c>
      <c r="D69" s="299">
        <v>3481</v>
      </c>
      <c r="E69" s="300">
        <f>IF(C69&lt;D69,C69,D69)</f>
        <v>3481</v>
      </c>
      <c r="F69" s="327"/>
      <c r="G69" s="301">
        <f>E69+F69</f>
        <v>3481</v>
      </c>
      <c r="H69" s="302">
        <v>1.3469947470279238</v>
      </c>
      <c r="I69" s="292">
        <f>E69*H69</f>
        <v>4688.888714404203</v>
      </c>
      <c r="J69" s="311"/>
      <c r="K69" s="304">
        <f>SUM(I69:J69)</f>
        <v>4688.888714404203</v>
      </c>
      <c r="L69" s="313"/>
      <c r="M69" s="305">
        <f>IF(D69&gt;C69,C69-D69,0)</f>
        <v>0</v>
      </c>
      <c r="N69" s="306">
        <f>IF(D69&lt;C69,C69-D69,0)</f>
        <v>136</v>
      </c>
    </row>
    <row r="70" spans="1:14" s="95" customFormat="1" ht="13.5" thickBot="1">
      <c r="A70" s="316" t="s">
        <v>188</v>
      </c>
      <c r="B70" s="317" t="s">
        <v>178</v>
      </c>
      <c r="C70" s="318">
        <v>6903</v>
      </c>
      <c r="D70" s="319">
        <f>SUM(D65:D69)</f>
        <v>6140</v>
      </c>
      <c r="E70" s="319">
        <f>SUM(E65:E69)</f>
        <v>6139.5</v>
      </c>
      <c r="F70" s="320">
        <f>SUM(F65:F69)</f>
        <v>0</v>
      </c>
      <c r="G70" s="321">
        <f>SUM(G65:G69)</f>
        <v>6139.5</v>
      </c>
      <c r="H70" s="320"/>
      <c r="I70" s="320">
        <f>SUM(I65:I69)</f>
        <v>8289.701552643728</v>
      </c>
      <c r="J70" s="320">
        <f>SUM(J65:J69)</f>
        <v>0</v>
      </c>
      <c r="K70" s="322">
        <f>SUM(K65:K69)</f>
        <v>8289.701552643728</v>
      </c>
      <c r="L70" s="323">
        <f>ROUND(K70*$N$156/$K$151,0)</f>
        <v>85534</v>
      </c>
      <c r="M70" s="324">
        <f>SUM(M65:M69)</f>
        <v>-4</v>
      </c>
      <c r="N70" s="325">
        <f>SUM(N65:N69)</f>
        <v>767</v>
      </c>
    </row>
    <row r="71" spans="1:14" s="95" customFormat="1" ht="12.75">
      <c r="A71" s="332" t="s">
        <v>189</v>
      </c>
      <c r="B71" s="297" t="s">
        <v>173</v>
      </c>
      <c r="C71" s="298">
        <v>5981.5</v>
      </c>
      <c r="D71" s="299">
        <v>6160</v>
      </c>
      <c r="E71" s="300">
        <f>IF(C71&gt;=0.9*D71,D71,C71+0.1*D71)</f>
        <v>6160</v>
      </c>
      <c r="F71" s="292"/>
      <c r="G71" s="301">
        <f>E71+F71</f>
        <v>6160</v>
      </c>
      <c r="H71" s="302">
        <v>1.9674245590570927</v>
      </c>
      <c r="I71" s="292">
        <f>E71*H71</f>
        <v>12119.33528379169</v>
      </c>
      <c r="J71" s="303"/>
      <c r="K71" s="304">
        <f>SUM(I71:J71)</f>
        <v>12119.33528379169</v>
      </c>
      <c r="L71" s="300"/>
      <c r="M71" s="305">
        <f>IF(D71&gt;C71,C71-D71,0)</f>
        <v>-178.5</v>
      </c>
      <c r="N71" s="306">
        <f>IF(D71&lt;C71,C71-D71,0)</f>
        <v>0</v>
      </c>
    </row>
    <row r="72" spans="1:14" s="95" customFormat="1" ht="12.75">
      <c r="A72" s="333" t="s">
        <v>189</v>
      </c>
      <c r="B72" s="297" t="s">
        <v>174</v>
      </c>
      <c r="C72" s="298">
        <v>0</v>
      </c>
      <c r="D72" s="299">
        <v>0</v>
      </c>
      <c r="E72" s="300">
        <f>IF(C72&gt;=0.9*D72,D72,C72+0.1*D72)</f>
        <v>0</v>
      </c>
      <c r="F72" s="292"/>
      <c r="G72" s="301">
        <f>E72+F72</f>
        <v>0</v>
      </c>
      <c r="H72" s="302"/>
      <c r="I72" s="292">
        <f>E72*H72</f>
        <v>0</v>
      </c>
      <c r="J72" s="303"/>
      <c r="K72" s="304">
        <f>SUM(I72:J72)</f>
        <v>0</v>
      </c>
      <c r="L72" s="300"/>
      <c r="M72" s="305">
        <f>IF(D72&gt;C72,C72-D72,0)</f>
        <v>0</v>
      </c>
      <c r="N72" s="306">
        <f>IF(D72&lt;C72,C72-D72,0)</f>
        <v>0</v>
      </c>
    </row>
    <row r="73" spans="1:14" s="95" customFormat="1" ht="12.75">
      <c r="A73" s="333" t="s">
        <v>189</v>
      </c>
      <c r="B73" s="297" t="s">
        <v>175</v>
      </c>
      <c r="C73" s="298">
        <v>2633.5</v>
      </c>
      <c r="D73" s="310">
        <v>2410</v>
      </c>
      <c r="E73" s="300">
        <f>IF(C73&gt;=0.9*D73,D73,C73+0.1*D73)</f>
        <v>2410</v>
      </c>
      <c r="F73" s="292"/>
      <c r="G73" s="301">
        <f>E73+F73</f>
        <v>2410</v>
      </c>
      <c r="H73" s="302">
        <v>1.8685057907727358</v>
      </c>
      <c r="I73" s="292">
        <f>E73*H73</f>
        <v>4503.098955762293</v>
      </c>
      <c r="J73" s="303"/>
      <c r="K73" s="304">
        <f>SUM(I73:J73)</f>
        <v>4503.098955762293</v>
      </c>
      <c r="L73" s="300"/>
      <c r="M73" s="305">
        <f>IF(D73&gt;C73,C73-D73,0)</f>
        <v>0</v>
      </c>
      <c r="N73" s="306">
        <f>IF(D73&lt;C73,C73-D73,0)</f>
        <v>223.5</v>
      </c>
    </row>
    <row r="74" spans="1:14" s="95" customFormat="1" ht="12.75">
      <c r="A74" s="307" t="s">
        <v>189</v>
      </c>
      <c r="B74" s="308" t="s">
        <v>176</v>
      </c>
      <c r="C74" s="309">
        <v>415.5</v>
      </c>
      <c r="D74" s="310">
        <v>493</v>
      </c>
      <c r="E74" s="300">
        <f>IF(C74&gt;=0.9*D74,D74,C74+0.1*D74)</f>
        <v>464.8</v>
      </c>
      <c r="F74" s="327"/>
      <c r="G74" s="301">
        <f>E74+F74</f>
        <v>464.8</v>
      </c>
      <c r="H74" s="312">
        <v>1.927870036101083</v>
      </c>
      <c r="I74" s="292">
        <f>E74*H74</f>
        <v>896.0739927797833</v>
      </c>
      <c r="J74" s="311"/>
      <c r="K74" s="304">
        <f>SUM(I74:J74)</f>
        <v>896.0739927797833</v>
      </c>
      <c r="L74" s="313"/>
      <c r="M74" s="305">
        <f>IF(D74&gt;C74,C74-D74,0)</f>
        <v>-77.5</v>
      </c>
      <c r="N74" s="306">
        <f>IF(D74&lt;C74,C74-D74,0)</f>
        <v>0</v>
      </c>
    </row>
    <row r="75" spans="1:14" s="95" customFormat="1" ht="13.5" thickBot="1">
      <c r="A75" s="334" t="s">
        <v>189</v>
      </c>
      <c r="B75" s="315" t="s">
        <v>177</v>
      </c>
      <c r="C75" s="298">
        <v>11436</v>
      </c>
      <c r="D75" s="299">
        <v>10827</v>
      </c>
      <c r="E75" s="300">
        <f>IF(C75&lt;D75,C75,D75)</f>
        <v>10827</v>
      </c>
      <c r="F75" s="327"/>
      <c r="G75" s="301">
        <f>E75+F75</f>
        <v>10827</v>
      </c>
      <c r="H75" s="302">
        <v>1.880251836306401</v>
      </c>
      <c r="I75" s="292">
        <f>E75*H75</f>
        <v>20357.486631689404</v>
      </c>
      <c r="J75" s="311"/>
      <c r="K75" s="304">
        <f>SUM(I75:J75)</f>
        <v>20357.486631689404</v>
      </c>
      <c r="L75" s="313"/>
      <c r="M75" s="305">
        <f>IF(D75&gt;C75,C75-D75,0)</f>
        <v>0</v>
      </c>
      <c r="N75" s="306">
        <f>IF(D75&lt;C75,C75-D75,0)</f>
        <v>609</v>
      </c>
    </row>
    <row r="76" spans="1:14" s="95" customFormat="1" ht="13.5" thickBot="1">
      <c r="A76" s="316" t="s">
        <v>189</v>
      </c>
      <c r="B76" s="317" t="s">
        <v>178</v>
      </c>
      <c r="C76" s="318">
        <v>20466.5</v>
      </c>
      <c r="D76" s="319">
        <f>SUM(D71:D75)</f>
        <v>19890</v>
      </c>
      <c r="E76" s="319">
        <f>SUM(E71:E75)</f>
        <v>19861.8</v>
      </c>
      <c r="F76" s="320">
        <f>SUM(F71:F75)</f>
        <v>0</v>
      </c>
      <c r="G76" s="321">
        <f>SUM(G71:G75)</f>
        <v>19861.8</v>
      </c>
      <c r="H76" s="320"/>
      <c r="I76" s="320">
        <f>SUM(I71:I75)</f>
        <v>37875.994864023174</v>
      </c>
      <c r="J76" s="320">
        <f>SUM(J71:J75)</f>
        <v>0</v>
      </c>
      <c r="K76" s="322">
        <f>SUM(K71:K75)</f>
        <v>37875.994864023174</v>
      </c>
      <c r="L76" s="323">
        <f>ROUND(K76*$N$156/$K$151,0)</f>
        <v>390806</v>
      </c>
      <c r="M76" s="324">
        <f>SUM(M71:M75)</f>
        <v>-256</v>
      </c>
      <c r="N76" s="325">
        <f>SUM(N71:N75)</f>
        <v>832.5</v>
      </c>
    </row>
    <row r="77" spans="1:14" s="95" customFormat="1" ht="12.75">
      <c r="A77" s="326" t="s">
        <v>124</v>
      </c>
      <c r="B77" s="297" t="s">
        <v>173</v>
      </c>
      <c r="C77" s="298">
        <v>1518</v>
      </c>
      <c r="D77" s="299">
        <v>1134</v>
      </c>
      <c r="E77" s="300">
        <f>IF(C77&gt;=0.9*D77,D77,C77+0.1*D77)</f>
        <v>1134</v>
      </c>
      <c r="F77" s="292"/>
      <c r="G77" s="301">
        <f>E77+F77</f>
        <v>1134</v>
      </c>
      <c r="H77" s="302">
        <v>2.6936758893280635</v>
      </c>
      <c r="I77" s="292">
        <f>E77*H77</f>
        <v>3054.628458498024</v>
      </c>
      <c r="J77" s="303"/>
      <c r="K77" s="304">
        <f>SUM(I77:J77)</f>
        <v>3054.628458498024</v>
      </c>
      <c r="L77" s="300"/>
      <c r="M77" s="305">
        <f>IF(D77&gt;C77,C77-D77,0)</f>
        <v>0</v>
      </c>
      <c r="N77" s="306">
        <f>IF(D77&lt;C77,C77-D77,0)</f>
        <v>384</v>
      </c>
    </row>
    <row r="78" spans="1:14" s="95" customFormat="1" ht="12.75">
      <c r="A78" s="286" t="s">
        <v>124</v>
      </c>
      <c r="B78" s="297" t="s">
        <v>174</v>
      </c>
      <c r="C78" s="298">
        <v>0</v>
      </c>
      <c r="D78" s="299">
        <v>0</v>
      </c>
      <c r="E78" s="300">
        <f>IF(C78&gt;=0.9*D78,D78,C78+0.1*D78)</f>
        <v>0</v>
      </c>
      <c r="F78" s="292"/>
      <c r="G78" s="301">
        <f>E78+F78</f>
        <v>0</v>
      </c>
      <c r="H78" s="302"/>
      <c r="I78" s="292">
        <f>E78*H78</f>
        <v>0</v>
      </c>
      <c r="J78" s="303"/>
      <c r="K78" s="304">
        <f>SUM(I78:J78)</f>
        <v>0</v>
      </c>
      <c r="L78" s="300"/>
      <c r="M78" s="305">
        <f>IF(D78&gt;C78,C78-D78,0)</f>
        <v>0</v>
      </c>
      <c r="N78" s="306">
        <f>IF(D78&lt;C78,C78-D78,0)</f>
        <v>0</v>
      </c>
    </row>
    <row r="79" spans="1:14" s="95" customFormat="1" ht="12.75">
      <c r="A79" s="286" t="s">
        <v>124</v>
      </c>
      <c r="B79" s="297" t="s">
        <v>175</v>
      </c>
      <c r="C79" s="298">
        <v>457</v>
      </c>
      <c r="D79" s="299">
        <v>398</v>
      </c>
      <c r="E79" s="300">
        <f>IF(C79&gt;=0.9*D79,D79,C79+0.1*D79)</f>
        <v>398</v>
      </c>
      <c r="F79" s="292"/>
      <c r="G79" s="301">
        <f>E79+F79</f>
        <v>398</v>
      </c>
      <c r="H79" s="302">
        <v>2.6492341356673963</v>
      </c>
      <c r="I79" s="292">
        <f>E79*H79</f>
        <v>1054.3951859956237</v>
      </c>
      <c r="J79" s="303"/>
      <c r="K79" s="304">
        <f>SUM(I79:J79)</f>
        <v>1054.3951859956237</v>
      </c>
      <c r="L79" s="300"/>
      <c r="M79" s="305">
        <f>IF(D79&gt;C79,C79-D79,0)</f>
        <v>0</v>
      </c>
      <c r="N79" s="306">
        <f>IF(D79&lt;C79,C79-D79,0)</f>
        <v>59</v>
      </c>
    </row>
    <row r="80" spans="1:14" s="95" customFormat="1" ht="12.75">
      <c r="A80" s="307" t="s">
        <v>124</v>
      </c>
      <c r="B80" s="308" t="s">
        <v>176</v>
      </c>
      <c r="C80" s="309">
        <v>155</v>
      </c>
      <c r="D80" s="310">
        <v>190</v>
      </c>
      <c r="E80" s="300">
        <f>IF(C80&gt;=0.9*D80,D80,C80+0.1*D80)</f>
        <v>174</v>
      </c>
      <c r="F80" s="327"/>
      <c r="G80" s="301">
        <f>E80+F80</f>
        <v>174</v>
      </c>
      <c r="H80" s="312">
        <v>2.770967741935484</v>
      </c>
      <c r="I80" s="292">
        <f>E80*H80</f>
        <v>482.1483870967742</v>
      </c>
      <c r="J80" s="311"/>
      <c r="K80" s="304">
        <f>SUM(I80:J80)</f>
        <v>482.1483870967742</v>
      </c>
      <c r="L80" s="313"/>
      <c r="M80" s="305">
        <f>IF(D80&gt;C80,C80-D80,0)</f>
        <v>-35</v>
      </c>
      <c r="N80" s="306">
        <f>IF(D80&lt;C80,C80-D80,0)</f>
        <v>0</v>
      </c>
    </row>
    <row r="81" spans="1:14" s="95" customFormat="1" ht="13.5" thickBot="1">
      <c r="A81" s="328" t="s">
        <v>124</v>
      </c>
      <c r="B81" s="315" t="s">
        <v>177</v>
      </c>
      <c r="C81" s="298">
        <v>1980.5</v>
      </c>
      <c r="D81" s="299">
        <v>1767</v>
      </c>
      <c r="E81" s="300">
        <f>IF(C81&lt;D81,C81,D81)</f>
        <v>1767</v>
      </c>
      <c r="F81" s="327"/>
      <c r="G81" s="301">
        <f>E81+F81</f>
        <v>1767</v>
      </c>
      <c r="H81" s="302">
        <v>2.7525624842211562</v>
      </c>
      <c r="I81" s="292">
        <f>E81*H81</f>
        <v>4863.777909618783</v>
      </c>
      <c r="J81" s="311"/>
      <c r="K81" s="304">
        <f>SUM(I81:J81)</f>
        <v>4863.777909618783</v>
      </c>
      <c r="L81" s="313"/>
      <c r="M81" s="305">
        <f>IF(D81&gt;C81,C81-D81,0)</f>
        <v>0</v>
      </c>
      <c r="N81" s="306">
        <f>IF(D81&lt;C81,C81-D81,0)</f>
        <v>213.5</v>
      </c>
    </row>
    <row r="82" spans="1:14" s="95" customFormat="1" ht="13.5" thickBot="1">
      <c r="A82" s="316" t="s">
        <v>124</v>
      </c>
      <c r="B82" s="317" t="s">
        <v>178</v>
      </c>
      <c r="C82" s="318">
        <v>4110.5</v>
      </c>
      <c r="D82" s="319">
        <f>SUM(D77:D81)</f>
        <v>3489</v>
      </c>
      <c r="E82" s="319">
        <f>SUM(E77:E81)</f>
        <v>3473</v>
      </c>
      <c r="F82" s="320">
        <f>SUM(F77:F81)</f>
        <v>0</v>
      </c>
      <c r="G82" s="321">
        <f>SUM(G77:G81)</f>
        <v>3473</v>
      </c>
      <c r="H82" s="320"/>
      <c r="I82" s="320">
        <f>SUM(I77:I81)</f>
        <v>9454.949941209205</v>
      </c>
      <c r="J82" s="320">
        <f>SUM(J77:J81)</f>
        <v>0</v>
      </c>
      <c r="K82" s="322">
        <f>SUM(K77:K81)</f>
        <v>9454.949941209205</v>
      </c>
      <c r="L82" s="323">
        <f>ROUND(K82*$N$156/$K$151,0)</f>
        <v>97557</v>
      </c>
      <c r="M82" s="324">
        <f>SUM(M77:M81)</f>
        <v>-35</v>
      </c>
      <c r="N82" s="325">
        <f>SUM(N77:N81)</f>
        <v>656.5</v>
      </c>
    </row>
    <row r="83" spans="1:14" s="95" customFormat="1" ht="12.75">
      <c r="A83" s="326" t="s">
        <v>190</v>
      </c>
      <c r="B83" s="297" t="s">
        <v>173</v>
      </c>
      <c r="C83" s="298">
        <v>3872.5</v>
      </c>
      <c r="D83" s="299">
        <v>3408</v>
      </c>
      <c r="E83" s="300">
        <f>IF(C83&gt;=0.9*D83,D83,C83+0.1*D83)</f>
        <v>3408</v>
      </c>
      <c r="F83" s="292"/>
      <c r="G83" s="301">
        <f>E83+F83</f>
        <v>3408</v>
      </c>
      <c r="H83" s="302">
        <v>1.565916074887024</v>
      </c>
      <c r="I83" s="292">
        <f>E83*H83</f>
        <v>5336.641983214978</v>
      </c>
      <c r="J83" s="303"/>
      <c r="K83" s="304">
        <f>SUM(I83:J83)</f>
        <v>5336.641983214978</v>
      </c>
      <c r="L83" s="300"/>
      <c r="M83" s="305">
        <f>IF(D83&gt;C83,C83-D83,0)</f>
        <v>0</v>
      </c>
      <c r="N83" s="306">
        <f>IF(D83&lt;C83,C83-D83,0)</f>
        <v>464.5</v>
      </c>
    </row>
    <row r="84" spans="1:14" s="95" customFormat="1" ht="12.75">
      <c r="A84" s="286" t="s">
        <v>190</v>
      </c>
      <c r="B84" s="297" t="s">
        <v>174</v>
      </c>
      <c r="C84" s="298">
        <v>355.5</v>
      </c>
      <c r="D84" s="299">
        <v>324</v>
      </c>
      <c r="E84" s="300">
        <f>IF(C84&gt;=0.9*D84,D84,C84+0.1*D84)</f>
        <v>324</v>
      </c>
      <c r="F84" s="292"/>
      <c r="G84" s="301">
        <f>E84+F84</f>
        <v>324</v>
      </c>
      <c r="H84" s="302">
        <v>1.060196905766526</v>
      </c>
      <c r="I84" s="292">
        <f>E84*H84</f>
        <v>343.5037974683544</v>
      </c>
      <c r="J84" s="303"/>
      <c r="K84" s="304">
        <f>SUM(I84:J84)</f>
        <v>343.5037974683544</v>
      </c>
      <c r="L84" s="300"/>
      <c r="M84" s="305">
        <f>IF(D84&gt;C84,C84-D84,0)</f>
        <v>0</v>
      </c>
      <c r="N84" s="306">
        <f>IF(D84&lt;C84,C84-D84,0)</f>
        <v>31.5</v>
      </c>
    </row>
    <row r="85" spans="1:14" s="95" customFormat="1" ht="12.75">
      <c r="A85" s="286" t="s">
        <v>190</v>
      </c>
      <c r="B85" s="297" t="s">
        <v>175</v>
      </c>
      <c r="C85" s="298">
        <v>1247</v>
      </c>
      <c r="D85" s="299">
        <v>1094</v>
      </c>
      <c r="E85" s="300">
        <f>IF(C85&gt;=0.9*D85,D85,C85+0.1*D85)</f>
        <v>1094</v>
      </c>
      <c r="F85" s="292"/>
      <c r="G85" s="301">
        <f>E85+F85</f>
        <v>1094</v>
      </c>
      <c r="H85" s="302">
        <v>1.5106896551724138</v>
      </c>
      <c r="I85" s="292">
        <f>E85*H85</f>
        <v>1652.6944827586208</v>
      </c>
      <c r="J85" s="303"/>
      <c r="K85" s="304">
        <f>SUM(I85:J85)</f>
        <v>1652.6944827586208</v>
      </c>
      <c r="L85" s="300"/>
      <c r="M85" s="305">
        <f>IF(D85&gt;C85,C85-D85,0)</f>
        <v>0</v>
      </c>
      <c r="N85" s="306">
        <f>IF(D85&lt;C85,C85-D85,0)</f>
        <v>153</v>
      </c>
    </row>
    <row r="86" spans="1:14" s="95" customFormat="1" ht="12.75">
      <c r="A86" s="307" t="s">
        <v>190</v>
      </c>
      <c r="B86" s="308" t="s">
        <v>176</v>
      </c>
      <c r="C86" s="309">
        <v>146</v>
      </c>
      <c r="D86" s="310">
        <v>158</v>
      </c>
      <c r="E86" s="300">
        <f>IF(C86&gt;=0.9*D86,D86,C86+0.1*D86)</f>
        <v>158</v>
      </c>
      <c r="F86" s="327"/>
      <c r="G86" s="301">
        <f>E86+F86</f>
        <v>158</v>
      </c>
      <c r="H86" s="312">
        <v>1.4810273972602739</v>
      </c>
      <c r="I86" s="292">
        <f>E86*H86</f>
        <v>234.00232876712326</v>
      </c>
      <c r="J86" s="311"/>
      <c r="K86" s="304">
        <f>SUM(I86:J86)</f>
        <v>234.00232876712326</v>
      </c>
      <c r="L86" s="313"/>
      <c r="M86" s="305">
        <f>IF(D86&gt;C86,C86-D86,0)</f>
        <v>-12</v>
      </c>
      <c r="N86" s="306">
        <f>IF(D86&lt;C86,C86-D86,0)</f>
        <v>0</v>
      </c>
    </row>
    <row r="87" spans="1:14" s="95" customFormat="1" ht="13.5" thickBot="1">
      <c r="A87" s="328" t="s">
        <v>190</v>
      </c>
      <c r="B87" s="315" t="s">
        <v>177</v>
      </c>
      <c r="C87" s="298">
        <v>7712.5</v>
      </c>
      <c r="D87" s="299">
        <v>7404</v>
      </c>
      <c r="E87" s="300">
        <f>IF(C87&lt;D87,C87,D87)</f>
        <v>7404</v>
      </c>
      <c r="F87" s="327"/>
      <c r="G87" s="301">
        <f>E87+F87</f>
        <v>7404</v>
      </c>
      <c r="H87" s="302">
        <v>1.4803332252836305</v>
      </c>
      <c r="I87" s="292">
        <f>E87*H87</f>
        <v>10960.387200000001</v>
      </c>
      <c r="J87" s="311"/>
      <c r="K87" s="304">
        <f>SUM(I87:J87)</f>
        <v>10960.387200000001</v>
      </c>
      <c r="L87" s="313"/>
      <c r="M87" s="305">
        <f>IF(D87&gt;C87,C87-D87,0)</f>
        <v>0</v>
      </c>
      <c r="N87" s="306">
        <f>IF(D87&lt;C87,C87-D87,0)</f>
        <v>308.5</v>
      </c>
    </row>
    <row r="88" spans="1:14" s="95" customFormat="1" ht="13.5" thickBot="1">
      <c r="A88" s="316" t="s">
        <v>190</v>
      </c>
      <c r="B88" s="317" t="s">
        <v>178</v>
      </c>
      <c r="C88" s="318">
        <v>13333.5</v>
      </c>
      <c r="D88" s="319">
        <f>SUM(D83:D87)</f>
        <v>12388</v>
      </c>
      <c r="E88" s="319">
        <f>SUM(E83:E87)</f>
        <v>12388</v>
      </c>
      <c r="F88" s="320">
        <f>SUM(F83:F87)</f>
        <v>0</v>
      </c>
      <c r="G88" s="321">
        <f>SUM(G83:G87)</f>
        <v>12388</v>
      </c>
      <c r="H88" s="320"/>
      <c r="I88" s="320">
        <f>SUM(I83:I87)</f>
        <v>18527.229792209077</v>
      </c>
      <c r="J88" s="320">
        <f>SUM(J83:J87)</f>
        <v>0</v>
      </c>
      <c r="K88" s="322">
        <f>SUM(K83:K87)</f>
        <v>18527.229792209077</v>
      </c>
      <c r="L88" s="323">
        <f>ROUND(K88*$N$156/$K$151,0)</f>
        <v>191165</v>
      </c>
      <c r="M88" s="324">
        <f>SUM(M83:M87)</f>
        <v>-12</v>
      </c>
      <c r="N88" s="325">
        <f>SUM(N83:N87)</f>
        <v>957.5</v>
      </c>
    </row>
    <row r="89" spans="1:14" s="95" customFormat="1" ht="12.75">
      <c r="A89" s="329" t="s">
        <v>191</v>
      </c>
      <c r="B89" s="297" t="s">
        <v>173</v>
      </c>
      <c r="C89" s="298">
        <v>2364.5</v>
      </c>
      <c r="D89" s="299">
        <v>2205</v>
      </c>
      <c r="E89" s="300">
        <f>IF(C89&gt;=0.9*D89,D89,C89+0.1*D89)</f>
        <v>2205</v>
      </c>
      <c r="F89" s="292"/>
      <c r="G89" s="301">
        <f>E89+F89</f>
        <v>2205</v>
      </c>
      <c r="H89" s="302">
        <v>1.544838232184394</v>
      </c>
      <c r="I89" s="292">
        <f>E89*H89</f>
        <v>3406.368301966589</v>
      </c>
      <c r="J89" s="303"/>
      <c r="K89" s="304">
        <f>SUM(I89:J89)</f>
        <v>3406.368301966589</v>
      </c>
      <c r="L89" s="300"/>
      <c r="M89" s="305">
        <f>IF(D89&gt;C89,C89-D89,0)</f>
        <v>0</v>
      </c>
      <c r="N89" s="306">
        <f>IF(D89&lt;C89,C89-D89,0)</f>
        <v>159.5</v>
      </c>
    </row>
    <row r="90" spans="1:14" s="95" customFormat="1" ht="12.75">
      <c r="A90" s="296" t="s">
        <v>191</v>
      </c>
      <c r="B90" s="297" t="s">
        <v>174</v>
      </c>
      <c r="C90" s="298">
        <v>64</v>
      </c>
      <c r="D90" s="299">
        <v>62</v>
      </c>
      <c r="E90" s="300">
        <f>IF(C90&gt;=0.9*D90,D90,C90+0.1*D90)</f>
        <v>62</v>
      </c>
      <c r="F90" s="292"/>
      <c r="G90" s="301">
        <f>E90+F90</f>
        <v>62</v>
      </c>
      <c r="H90" s="302">
        <v>1.2</v>
      </c>
      <c r="I90" s="292">
        <f>E90*H90</f>
        <v>74.39999999999999</v>
      </c>
      <c r="J90" s="303"/>
      <c r="K90" s="304">
        <f>SUM(I90:J90)</f>
        <v>74.39999999999999</v>
      </c>
      <c r="L90" s="300"/>
      <c r="M90" s="305">
        <f>IF(D90&gt;C90,C90-D90,0)</f>
        <v>0</v>
      </c>
      <c r="N90" s="306">
        <f>IF(D90&lt;C90,C90-D90,0)</f>
        <v>2</v>
      </c>
    </row>
    <row r="91" spans="1:14" s="95" customFormat="1" ht="12.75">
      <c r="A91" s="296" t="s">
        <v>191</v>
      </c>
      <c r="B91" s="297" t="s">
        <v>175</v>
      </c>
      <c r="C91" s="298">
        <v>757</v>
      </c>
      <c r="D91" s="299">
        <v>668</v>
      </c>
      <c r="E91" s="300">
        <f>IF(C91&gt;=0.9*D91,D91,C91+0.1*D91)</f>
        <v>668</v>
      </c>
      <c r="F91" s="292"/>
      <c r="G91" s="301">
        <f>E91+F91</f>
        <v>668</v>
      </c>
      <c r="H91" s="302">
        <v>1.473421400264201</v>
      </c>
      <c r="I91" s="292">
        <f>E91*H91</f>
        <v>984.2454953764862</v>
      </c>
      <c r="J91" s="303"/>
      <c r="K91" s="304">
        <f>SUM(I91:J91)</f>
        <v>984.2454953764862</v>
      </c>
      <c r="L91" s="300"/>
      <c r="M91" s="305">
        <f>IF(D91&gt;C91,C91-D91,0)</f>
        <v>0</v>
      </c>
      <c r="N91" s="306">
        <f>IF(D91&lt;C91,C91-D91,0)</f>
        <v>89</v>
      </c>
    </row>
    <row r="92" spans="1:14" s="95" customFormat="1" ht="12.75">
      <c r="A92" s="307" t="s">
        <v>191</v>
      </c>
      <c r="B92" s="308" t="s">
        <v>176</v>
      </c>
      <c r="C92" s="309">
        <v>88</v>
      </c>
      <c r="D92" s="310">
        <v>71</v>
      </c>
      <c r="E92" s="300">
        <f>IF(C92&gt;=0.9*D92,D92,C92+0.1*D92)</f>
        <v>71</v>
      </c>
      <c r="F92" s="327"/>
      <c r="G92" s="301">
        <f>E92+F92</f>
        <v>71</v>
      </c>
      <c r="H92" s="312">
        <v>1.5319318181818182</v>
      </c>
      <c r="I92" s="292">
        <f>E92*H92</f>
        <v>108.76715909090909</v>
      </c>
      <c r="J92" s="311"/>
      <c r="K92" s="304">
        <f>SUM(I92:J92)</f>
        <v>108.76715909090909</v>
      </c>
      <c r="L92" s="313"/>
      <c r="M92" s="305">
        <f>IF(D92&gt;C92,C92-D92,0)</f>
        <v>0</v>
      </c>
      <c r="N92" s="306">
        <f>IF(D92&lt;C92,C92-D92,0)</f>
        <v>17</v>
      </c>
    </row>
    <row r="93" spans="1:14" s="95" customFormat="1" ht="13.5" thickBot="1">
      <c r="A93" s="314" t="s">
        <v>191</v>
      </c>
      <c r="B93" s="315" t="s">
        <v>177</v>
      </c>
      <c r="C93" s="298">
        <v>4441.5</v>
      </c>
      <c r="D93" s="299">
        <v>4307</v>
      </c>
      <c r="E93" s="300">
        <f>IF(C93&lt;D93,C93,D93)</f>
        <v>4307</v>
      </c>
      <c r="F93" s="327"/>
      <c r="G93" s="301">
        <f>E93+F93</f>
        <v>4307</v>
      </c>
      <c r="H93" s="302">
        <v>1.4913857930879206</v>
      </c>
      <c r="I93" s="292">
        <f>E93*H93</f>
        <v>6423.398610829674</v>
      </c>
      <c r="J93" s="311"/>
      <c r="K93" s="304">
        <f>SUM(I93:J93)</f>
        <v>6423.398610829674</v>
      </c>
      <c r="L93" s="313"/>
      <c r="M93" s="305">
        <f>IF(D93&gt;C93,C93-D93,0)</f>
        <v>0</v>
      </c>
      <c r="N93" s="306">
        <f>IF(D93&lt;C93,C93-D93,0)</f>
        <v>134.5</v>
      </c>
    </row>
    <row r="94" spans="1:14" s="95" customFormat="1" ht="13.5" thickBot="1">
      <c r="A94" s="316" t="s">
        <v>191</v>
      </c>
      <c r="B94" s="317" t="s">
        <v>178</v>
      </c>
      <c r="C94" s="318">
        <v>7715</v>
      </c>
      <c r="D94" s="319">
        <f>SUM(D89:D93)</f>
        <v>7313</v>
      </c>
      <c r="E94" s="319">
        <f>SUM(E89:E93)</f>
        <v>7313</v>
      </c>
      <c r="F94" s="320">
        <f>SUM(F89:F93)</f>
        <v>0</v>
      </c>
      <c r="G94" s="321">
        <f>SUM(G89:G93)</f>
        <v>7313</v>
      </c>
      <c r="H94" s="320"/>
      <c r="I94" s="320">
        <f>SUM(I89:I93)</f>
        <v>10997.179567263658</v>
      </c>
      <c r="J94" s="320">
        <f>SUM(J89:J93)</f>
        <v>0</v>
      </c>
      <c r="K94" s="322">
        <f>SUM(K89:K93)</f>
        <v>10997.179567263658</v>
      </c>
      <c r="L94" s="323">
        <f>ROUND(K94*$N$156/$K$151,0)</f>
        <v>113469</v>
      </c>
      <c r="M94" s="324">
        <f>SUM(M89:M93)</f>
        <v>0</v>
      </c>
      <c r="N94" s="325">
        <f>SUM(N89:N93)</f>
        <v>402</v>
      </c>
    </row>
    <row r="95" spans="1:14" s="95" customFormat="1" ht="12.75">
      <c r="A95" s="326" t="s">
        <v>192</v>
      </c>
      <c r="B95" s="297" t="s">
        <v>173</v>
      </c>
      <c r="C95" s="298">
        <v>3207.5</v>
      </c>
      <c r="D95" s="299">
        <v>2534</v>
      </c>
      <c r="E95" s="300">
        <f>IF(C95&gt;=0.9*D95,D95,C95+0.1*D95)</f>
        <v>2534</v>
      </c>
      <c r="F95" s="292"/>
      <c r="G95" s="301">
        <f>E95+F95</f>
        <v>2534</v>
      </c>
      <c r="H95" s="302">
        <v>1.714547155105222</v>
      </c>
      <c r="I95" s="292">
        <f>E95*H95</f>
        <v>4344.662491036633</v>
      </c>
      <c r="J95" s="303"/>
      <c r="K95" s="304">
        <f>SUM(I95:J95)</f>
        <v>4344.662491036633</v>
      </c>
      <c r="L95" s="300"/>
      <c r="M95" s="305">
        <f>IF(D95&gt;C95,C95-D95,0)</f>
        <v>0</v>
      </c>
      <c r="N95" s="306">
        <f>IF(D95&lt;C95,C95-D95,0)</f>
        <v>673.5</v>
      </c>
    </row>
    <row r="96" spans="1:14" s="95" customFormat="1" ht="12.75">
      <c r="A96" s="286" t="s">
        <v>192</v>
      </c>
      <c r="B96" s="297" t="s">
        <v>174</v>
      </c>
      <c r="C96" s="298">
        <v>0</v>
      </c>
      <c r="D96" s="299">
        <v>0</v>
      </c>
      <c r="E96" s="300">
        <f>IF(C96&gt;=0.9*D96,D96,C96+0.1*D96)</f>
        <v>0</v>
      </c>
      <c r="F96" s="292"/>
      <c r="G96" s="301">
        <f>E96+F96</f>
        <v>0</v>
      </c>
      <c r="H96" s="302"/>
      <c r="I96" s="292">
        <f>E96*H96</f>
        <v>0</v>
      </c>
      <c r="J96" s="303"/>
      <c r="K96" s="304">
        <f>SUM(I96:J96)</f>
        <v>0</v>
      </c>
      <c r="L96" s="300"/>
      <c r="M96" s="305">
        <f>IF(D96&gt;C96,C96-D96,0)</f>
        <v>0</v>
      </c>
      <c r="N96" s="306">
        <f>IF(D96&lt;C96,C96-D96,0)</f>
        <v>0</v>
      </c>
    </row>
    <row r="97" spans="1:14" s="95" customFormat="1" ht="12.75">
      <c r="A97" s="286" t="s">
        <v>192</v>
      </c>
      <c r="B97" s="297" t="s">
        <v>175</v>
      </c>
      <c r="C97" s="298">
        <v>1011.5</v>
      </c>
      <c r="D97" s="299">
        <v>743</v>
      </c>
      <c r="E97" s="300">
        <f>IF(C97&gt;=0.9*D97,D97,C97+0.1*D97)</f>
        <v>743</v>
      </c>
      <c r="F97" s="292"/>
      <c r="G97" s="301">
        <f>E97+F97</f>
        <v>743</v>
      </c>
      <c r="H97" s="302">
        <v>1.7071675729115174</v>
      </c>
      <c r="I97" s="292">
        <f>E97*H97</f>
        <v>1268.4255066732574</v>
      </c>
      <c r="J97" s="303"/>
      <c r="K97" s="304">
        <f>SUM(I97:J97)</f>
        <v>1268.4255066732574</v>
      </c>
      <c r="L97" s="300"/>
      <c r="M97" s="305">
        <f>IF(D97&gt;C97,C97-D97,0)</f>
        <v>0</v>
      </c>
      <c r="N97" s="306">
        <f>IF(D97&lt;C97,C97-D97,0)</f>
        <v>268.5</v>
      </c>
    </row>
    <row r="98" spans="1:14" s="95" customFormat="1" ht="12.75">
      <c r="A98" s="307" t="s">
        <v>192</v>
      </c>
      <c r="B98" s="308" t="s">
        <v>176</v>
      </c>
      <c r="C98" s="309">
        <v>100</v>
      </c>
      <c r="D98" s="310">
        <v>98</v>
      </c>
      <c r="E98" s="300">
        <f>IF(C98&gt;=0.9*D98,D98,C98+0.1*D98)</f>
        <v>98</v>
      </c>
      <c r="F98" s="327"/>
      <c r="G98" s="301">
        <f>E98+F98</f>
        <v>98</v>
      </c>
      <c r="H98" s="312">
        <v>2.044</v>
      </c>
      <c r="I98" s="292">
        <f>E98*H98</f>
        <v>200.312</v>
      </c>
      <c r="J98" s="311"/>
      <c r="K98" s="304">
        <f>SUM(I98:J98)</f>
        <v>200.312</v>
      </c>
      <c r="L98" s="313"/>
      <c r="M98" s="305">
        <f>IF(D98&gt;C98,C98-D98,0)</f>
        <v>0</v>
      </c>
      <c r="N98" s="306">
        <f>IF(D98&lt;C98,C98-D98,0)</f>
        <v>2</v>
      </c>
    </row>
    <row r="99" spans="1:14" s="95" customFormat="1" ht="13.5" thickBot="1">
      <c r="A99" s="328" t="s">
        <v>192</v>
      </c>
      <c r="B99" s="315" t="s">
        <v>177</v>
      </c>
      <c r="C99" s="298">
        <v>5360</v>
      </c>
      <c r="D99" s="299">
        <v>4544</v>
      </c>
      <c r="E99" s="300">
        <f>IF(C99&lt;D99,C99,D99)</f>
        <v>4544</v>
      </c>
      <c r="F99" s="327"/>
      <c r="G99" s="301">
        <f>E99+F99</f>
        <v>4544</v>
      </c>
      <c r="H99" s="302">
        <v>1.7288731343283583</v>
      </c>
      <c r="I99" s="292">
        <f>E99*H99</f>
        <v>7855.9995223880605</v>
      </c>
      <c r="J99" s="311"/>
      <c r="K99" s="304">
        <f>SUM(I99:J99)</f>
        <v>7855.9995223880605</v>
      </c>
      <c r="L99" s="313"/>
      <c r="M99" s="305">
        <f>IF(D99&gt;C99,C99-D99,0)</f>
        <v>0</v>
      </c>
      <c r="N99" s="306">
        <f>IF(D99&lt;C99,C99-D99,0)</f>
        <v>816</v>
      </c>
    </row>
    <row r="100" spans="1:14" s="95" customFormat="1" ht="13.5" thickBot="1">
      <c r="A100" s="316" t="s">
        <v>192</v>
      </c>
      <c r="B100" s="317" t="s">
        <v>178</v>
      </c>
      <c r="C100" s="318">
        <v>9679</v>
      </c>
      <c r="D100" s="319">
        <f>SUM(D95:D99)</f>
        <v>7919</v>
      </c>
      <c r="E100" s="319">
        <f>SUM(E95:E99)</f>
        <v>7919</v>
      </c>
      <c r="F100" s="320">
        <f>SUM(F95:F99)</f>
        <v>0</v>
      </c>
      <c r="G100" s="321">
        <f>SUM(G95:G99)</f>
        <v>7919</v>
      </c>
      <c r="H100" s="320"/>
      <c r="I100" s="320">
        <f>SUM(I95:I99)</f>
        <v>13669.399520097952</v>
      </c>
      <c r="J100" s="320">
        <f>SUM(J95:J99)</f>
        <v>0</v>
      </c>
      <c r="K100" s="322">
        <f>SUM(K95:K99)</f>
        <v>13669.399520097952</v>
      </c>
      <c r="L100" s="323">
        <f>ROUND(K100*$N$156/$K$151,0)</f>
        <v>141042</v>
      </c>
      <c r="M100" s="324">
        <f>SUM(M95:M99)</f>
        <v>0</v>
      </c>
      <c r="N100" s="325">
        <f>SUM(N95:N99)</f>
        <v>1760</v>
      </c>
    </row>
    <row r="101" spans="1:14" s="95" customFormat="1" ht="12.75">
      <c r="A101" s="326" t="s">
        <v>193</v>
      </c>
      <c r="B101" s="297" t="s">
        <v>173</v>
      </c>
      <c r="C101" s="298">
        <v>5623</v>
      </c>
      <c r="D101" s="299">
        <v>5263</v>
      </c>
      <c r="E101" s="300">
        <f>IF(C101&gt;=0.9*D101,D101,C101+0.1*D101)</f>
        <v>5263</v>
      </c>
      <c r="F101" s="292"/>
      <c r="G101" s="301">
        <f>E101+F101</f>
        <v>5263</v>
      </c>
      <c r="H101" s="302">
        <v>1.735372576916237</v>
      </c>
      <c r="I101" s="292">
        <f>E101*H101</f>
        <v>9133.265872310154</v>
      </c>
      <c r="J101" s="303"/>
      <c r="K101" s="304">
        <f>SUM(I101:J101)</f>
        <v>9133.265872310154</v>
      </c>
      <c r="L101" s="300"/>
      <c r="M101" s="305">
        <f>IF(D101&gt;C101,C101-D101,0)</f>
        <v>0</v>
      </c>
      <c r="N101" s="306">
        <f>IF(D101&lt;C101,C101-D101,0)</f>
        <v>360</v>
      </c>
    </row>
    <row r="102" spans="1:14" s="95" customFormat="1" ht="12.75">
      <c r="A102" s="286" t="s">
        <v>193</v>
      </c>
      <c r="B102" s="297" t="s">
        <v>174</v>
      </c>
      <c r="C102" s="298">
        <v>0</v>
      </c>
      <c r="D102" s="299">
        <v>0</v>
      </c>
      <c r="E102" s="300">
        <f>IF(C102&gt;=0.9*D102,D102,C102+0.1*D102)</f>
        <v>0</v>
      </c>
      <c r="F102" s="292"/>
      <c r="G102" s="301">
        <f>E102+F102</f>
        <v>0</v>
      </c>
      <c r="H102" s="302"/>
      <c r="I102" s="292">
        <f>E102*H102</f>
        <v>0</v>
      </c>
      <c r="J102" s="303"/>
      <c r="K102" s="304">
        <f>SUM(I102:J102)</f>
        <v>0</v>
      </c>
      <c r="L102" s="300"/>
      <c r="M102" s="305">
        <f>IF(D102&gt;C102,C102-D102,0)</f>
        <v>0</v>
      </c>
      <c r="N102" s="306">
        <f>IF(D102&lt;C102,C102-D102,0)</f>
        <v>0</v>
      </c>
    </row>
    <row r="103" spans="1:14" s="95" customFormat="1" ht="12.75">
      <c r="A103" s="286" t="s">
        <v>193</v>
      </c>
      <c r="B103" s="297" t="s">
        <v>175</v>
      </c>
      <c r="C103" s="298">
        <v>3192.5</v>
      </c>
      <c r="D103" s="299">
        <v>2491</v>
      </c>
      <c r="E103" s="300">
        <f>IF(C103&gt;=0.9*D103,D103,C103+0.1*D103)</f>
        <v>2491</v>
      </c>
      <c r="F103" s="292"/>
      <c r="G103" s="301">
        <f>E103+F103</f>
        <v>2491</v>
      </c>
      <c r="H103" s="302">
        <v>1.6221738449490994</v>
      </c>
      <c r="I103" s="292">
        <f>E103*H103</f>
        <v>4040.8350477682066</v>
      </c>
      <c r="J103" s="303"/>
      <c r="K103" s="304">
        <f>SUM(I103:J103)</f>
        <v>4040.8350477682066</v>
      </c>
      <c r="L103" s="300"/>
      <c r="M103" s="305">
        <f>IF(D103&gt;C103,C103-D103,0)</f>
        <v>0</v>
      </c>
      <c r="N103" s="306">
        <f>IF(D103&lt;C103,C103-D103,0)</f>
        <v>701.5</v>
      </c>
    </row>
    <row r="104" spans="1:14" s="95" customFormat="1" ht="12.75">
      <c r="A104" s="307" t="s">
        <v>193</v>
      </c>
      <c r="B104" s="308" t="s">
        <v>176</v>
      </c>
      <c r="C104" s="309">
        <v>362.5</v>
      </c>
      <c r="D104" s="310">
        <v>436</v>
      </c>
      <c r="E104" s="300">
        <f>IF(C104&gt;=0.9*D104,D104,C104+0.1*D104)</f>
        <v>406.1</v>
      </c>
      <c r="F104" s="327"/>
      <c r="G104" s="301">
        <f>E104+F104</f>
        <v>406.1</v>
      </c>
      <c r="H104" s="312">
        <v>1.7911172413793102</v>
      </c>
      <c r="I104" s="292">
        <f>E104*H104</f>
        <v>727.3727117241378</v>
      </c>
      <c r="J104" s="311"/>
      <c r="K104" s="304">
        <f>SUM(I104:J104)</f>
        <v>727.3727117241378</v>
      </c>
      <c r="L104" s="313"/>
      <c r="M104" s="305">
        <f>IF(D104&gt;C104,C104-D104,0)</f>
        <v>-73.5</v>
      </c>
      <c r="N104" s="306">
        <f>IF(D104&lt;C104,C104-D104,0)</f>
        <v>0</v>
      </c>
    </row>
    <row r="105" spans="1:14" s="95" customFormat="1" ht="13.5" thickBot="1">
      <c r="A105" s="328" t="s">
        <v>193</v>
      </c>
      <c r="B105" s="315" t="s">
        <v>177</v>
      </c>
      <c r="C105" s="298">
        <v>12316.5</v>
      </c>
      <c r="D105" s="299">
        <v>11099</v>
      </c>
      <c r="E105" s="300">
        <f>IF(C105&lt;D105,C105,D105)</f>
        <v>11099</v>
      </c>
      <c r="F105" s="327"/>
      <c r="G105" s="301">
        <f>E105+F105</f>
        <v>11099</v>
      </c>
      <c r="H105" s="302">
        <v>1.6854203710469695</v>
      </c>
      <c r="I105" s="292">
        <f>E105*H105</f>
        <v>18706.480698250314</v>
      </c>
      <c r="J105" s="311"/>
      <c r="K105" s="304">
        <f>SUM(I105:J105)</f>
        <v>18706.480698250314</v>
      </c>
      <c r="L105" s="313"/>
      <c r="M105" s="305">
        <f>IF(D105&gt;C105,C105-D105,0)</f>
        <v>0</v>
      </c>
      <c r="N105" s="306">
        <f>IF(D105&lt;C105,C105-D105,0)</f>
        <v>1217.5</v>
      </c>
    </row>
    <row r="106" spans="1:14" s="95" customFormat="1" ht="13.5" thickBot="1">
      <c r="A106" s="316" t="s">
        <v>193</v>
      </c>
      <c r="B106" s="317" t="s">
        <v>178</v>
      </c>
      <c r="C106" s="318">
        <v>21494.5</v>
      </c>
      <c r="D106" s="319">
        <f>SUM(D101:D105)</f>
        <v>19289</v>
      </c>
      <c r="E106" s="319">
        <f>SUM(E101:E105)</f>
        <v>19259.1</v>
      </c>
      <c r="F106" s="320">
        <f>SUM(F101:F105)</f>
        <v>0</v>
      </c>
      <c r="G106" s="321">
        <f>SUM(G101:G105)</f>
        <v>19259.1</v>
      </c>
      <c r="H106" s="320"/>
      <c r="I106" s="320">
        <f>SUM(I101:I105)</f>
        <v>32607.954330052813</v>
      </c>
      <c r="J106" s="320">
        <f>SUM(J101:J105)</f>
        <v>0</v>
      </c>
      <c r="K106" s="322">
        <f>SUM(K101:K105)</f>
        <v>32607.954330052813</v>
      </c>
      <c r="L106" s="323">
        <f>ROUND(K106*$N$156/$K$151,0)</f>
        <v>336450</v>
      </c>
      <c r="M106" s="324">
        <f>SUM(M101:M105)</f>
        <v>-73.5</v>
      </c>
      <c r="N106" s="325">
        <f>SUM(N101:N105)</f>
        <v>2279</v>
      </c>
    </row>
    <row r="107" spans="1:14" s="95" customFormat="1" ht="12.75">
      <c r="A107" s="329" t="s">
        <v>194</v>
      </c>
      <c r="B107" s="297" t="s">
        <v>173</v>
      </c>
      <c r="C107" s="298">
        <v>5215.5</v>
      </c>
      <c r="D107" s="299">
        <v>5298</v>
      </c>
      <c r="E107" s="300">
        <f>IF(C107&gt;=0.9*D107,D107,C107+0.1*D107)</f>
        <v>5298</v>
      </c>
      <c r="F107" s="292"/>
      <c r="G107" s="301">
        <f>E107+F107</f>
        <v>5298</v>
      </c>
      <c r="H107" s="302">
        <v>1.5383702425462564</v>
      </c>
      <c r="I107" s="292">
        <f>E107*H107</f>
        <v>8150.285545010067</v>
      </c>
      <c r="J107" s="303"/>
      <c r="K107" s="304">
        <f>SUM(I107:J107)</f>
        <v>8150.285545010067</v>
      </c>
      <c r="L107" s="300"/>
      <c r="M107" s="305">
        <f>IF(D107&gt;C107,C107-D107,0)</f>
        <v>-82.5</v>
      </c>
      <c r="N107" s="306">
        <f>IF(D107&lt;C107,C107-D107,0)</f>
        <v>0</v>
      </c>
    </row>
    <row r="108" spans="1:14" s="95" customFormat="1" ht="12.75">
      <c r="A108" s="296" t="s">
        <v>194</v>
      </c>
      <c r="B108" s="297" t="s">
        <v>174</v>
      </c>
      <c r="C108" s="298">
        <v>0</v>
      </c>
      <c r="D108" s="299">
        <v>0</v>
      </c>
      <c r="E108" s="300">
        <f>IF(C108&gt;=0.9*D108,D108,C108+0.1*D108)</f>
        <v>0</v>
      </c>
      <c r="F108" s="292"/>
      <c r="G108" s="301">
        <f>E108+F108</f>
        <v>0</v>
      </c>
      <c r="H108" s="302"/>
      <c r="I108" s="292">
        <f>E108*H108</f>
        <v>0</v>
      </c>
      <c r="J108" s="303"/>
      <c r="K108" s="304">
        <f>SUM(I108:J108)</f>
        <v>0</v>
      </c>
      <c r="L108" s="300"/>
      <c r="M108" s="305">
        <f>IF(D108&gt;C108,C108-D108,0)</f>
        <v>0</v>
      </c>
      <c r="N108" s="306">
        <f>IF(D108&lt;C108,C108-D108,0)</f>
        <v>0</v>
      </c>
    </row>
    <row r="109" spans="1:14" s="95" customFormat="1" ht="12.75">
      <c r="A109" s="296" t="s">
        <v>194</v>
      </c>
      <c r="B109" s="297" t="s">
        <v>175</v>
      </c>
      <c r="C109" s="298">
        <v>2655</v>
      </c>
      <c r="D109" s="299">
        <v>2213</v>
      </c>
      <c r="E109" s="300">
        <f>IF(C109&gt;=0.9*D109,D109,C109+0.1*D109)</f>
        <v>2213</v>
      </c>
      <c r="F109" s="292"/>
      <c r="G109" s="301">
        <f>E109+F109</f>
        <v>2213</v>
      </c>
      <c r="H109" s="302">
        <v>1.4799811676082861</v>
      </c>
      <c r="I109" s="292">
        <f>E109*H109</f>
        <v>3275.1983239171373</v>
      </c>
      <c r="J109" s="303"/>
      <c r="K109" s="304">
        <f>SUM(I109:J109)</f>
        <v>3275.1983239171373</v>
      </c>
      <c r="L109" s="300"/>
      <c r="M109" s="305">
        <f>IF(D109&gt;C109,C109-D109,0)</f>
        <v>0</v>
      </c>
      <c r="N109" s="306">
        <f>IF(D109&lt;C109,C109-D109,0)</f>
        <v>442</v>
      </c>
    </row>
    <row r="110" spans="1:14" s="95" customFormat="1" ht="12.75">
      <c r="A110" s="307" t="s">
        <v>194</v>
      </c>
      <c r="B110" s="308" t="s">
        <v>176</v>
      </c>
      <c r="C110" s="309">
        <v>336.5</v>
      </c>
      <c r="D110" s="310">
        <v>300</v>
      </c>
      <c r="E110" s="300">
        <f>IF(C110&gt;=0.9*D110,D110,C110+0.1*D110)</f>
        <v>300</v>
      </c>
      <c r="F110" s="327"/>
      <c r="G110" s="301">
        <f>E110+F110</f>
        <v>300</v>
      </c>
      <c r="H110" s="312">
        <v>1.68407132243685</v>
      </c>
      <c r="I110" s="292">
        <f>E110*H110</f>
        <v>505.221396731055</v>
      </c>
      <c r="J110" s="311"/>
      <c r="K110" s="304">
        <f>SUM(I110:J110)</f>
        <v>505.221396731055</v>
      </c>
      <c r="L110" s="313"/>
      <c r="M110" s="305">
        <f>IF(D110&gt;C110,C110-D110,0)</f>
        <v>0</v>
      </c>
      <c r="N110" s="306">
        <f>IF(D110&lt;C110,C110-D110,0)</f>
        <v>36.5</v>
      </c>
    </row>
    <row r="111" spans="1:14" s="95" customFormat="1" ht="13.5" thickBot="1">
      <c r="A111" s="314" t="s">
        <v>194</v>
      </c>
      <c r="B111" s="315" t="s">
        <v>177</v>
      </c>
      <c r="C111" s="298">
        <v>10168.5</v>
      </c>
      <c r="D111" s="299">
        <v>9603</v>
      </c>
      <c r="E111" s="300">
        <f>IF(C111&lt;D111,C111,D111)</f>
        <v>9603</v>
      </c>
      <c r="F111" s="327"/>
      <c r="G111" s="301">
        <f>E111+F111</f>
        <v>9603</v>
      </c>
      <c r="H111" s="302">
        <v>1.5120932290898361</v>
      </c>
      <c r="I111" s="292">
        <f>E111*H111</f>
        <v>14520.631278949697</v>
      </c>
      <c r="J111" s="311"/>
      <c r="K111" s="304">
        <f>SUM(I111:J111)</f>
        <v>14520.631278949697</v>
      </c>
      <c r="L111" s="313"/>
      <c r="M111" s="305">
        <f>IF(D111&gt;C111,C111-D111,0)</f>
        <v>0</v>
      </c>
      <c r="N111" s="306">
        <f>IF(D111&lt;C111,C111-D111,0)</f>
        <v>565.5</v>
      </c>
    </row>
    <row r="112" spans="1:14" s="95" customFormat="1" ht="13.5" thickBot="1">
      <c r="A112" s="316" t="s">
        <v>194</v>
      </c>
      <c r="B112" s="317" t="s">
        <v>178</v>
      </c>
      <c r="C112" s="318">
        <v>18375.5</v>
      </c>
      <c r="D112" s="319">
        <f>SUM(D107:D111)</f>
        <v>17414</v>
      </c>
      <c r="E112" s="319">
        <f>SUM(E107:E111)</f>
        <v>17414</v>
      </c>
      <c r="F112" s="320">
        <f>SUM(F107:F111)</f>
        <v>0</v>
      </c>
      <c r="G112" s="321">
        <f>SUM(G107:G111)</f>
        <v>17414</v>
      </c>
      <c r="H112" s="320"/>
      <c r="I112" s="320">
        <f>SUM(I107:I111)</f>
        <v>26451.336544607955</v>
      </c>
      <c r="J112" s="320">
        <f>SUM(J107:J111)</f>
        <v>0</v>
      </c>
      <c r="K112" s="322">
        <f>SUM(K107:K111)</f>
        <v>26451.336544607955</v>
      </c>
      <c r="L112" s="323">
        <f>ROUND(K112*$N$156/$K$151,0)</f>
        <v>272926</v>
      </c>
      <c r="M112" s="324">
        <f>SUM(M107:M111)</f>
        <v>-82.5</v>
      </c>
      <c r="N112" s="325">
        <f>SUM(N107:N111)</f>
        <v>1044</v>
      </c>
    </row>
    <row r="113" spans="1:14" s="95" customFormat="1" ht="12.75">
      <c r="A113" s="326" t="s">
        <v>195</v>
      </c>
      <c r="B113" s="297" t="s">
        <v>173</v>
      </c>
      <c r="C113" s="298">
        <v>3109.5</v>
      </c>
      <c r="D113" s="299">
        <v>2526</v>
      </c>
      <c r="E113" s="300">
        <f>IF(C113&gt;=0.9*D113,D113,C113+0.1*D113)</f>
        <v>2526</v>
      </c>
      <c r="F113" s="292"/>
      <c r="G113" s="301">
        <f>E113+F113</f>
        <v>2526</v>
      </c>
      <c r="H113" s="302">
        <v>1.768914616497829</v>
      </c>
      <c r="I113" s="292">
        <f>E113*H113</f>
        <v>4468.278321273517</v>
      </c>
      <c r="J113" s="303"/>
      <c r="K113" s="304">
        <f>SUM(I113:J113)</f>
        <v>4468.278321273517</v>
      </c>
      <c r="L113" s="300"/>
      <c r="M113" s="305">
        <f>IF(D113&gt;C113,C113-D113,0)</f>
        <v>0</v>
      </c>
      <c r="N113" s="306">
        <f>IF(D113&lt;C113,C113-D113,0)</f>
        <v>583.5</v>
      </c>
    </row>
    <row r="114" spans="1:14" s="95" customFormat="1" ht="12.75">
      <c r="A114" s="296" t="s">
        <v>195</v>
      </c>
      <c r="B114" s="297" t="s">
        <v>174</v>
      </c>
      <c r="C114" s="298">
        <v>0</v>
      </c>
      <c r="D114" s="299">
        <v>0</v>
      </c>
      <c r="E114" s="300">
        <f>IF(C114&gt;=0.9*D114,D114,C114+0.1*D114)</f>
        <v>0</v>
      </c>
      <c r="F114" s="292"/>
      <c r="G114" s="301">
        <f>E114+F114</f>
        <v>0</v>
      </c>
      <c r="H114" s="302"/>
      <c r="I114" s="292">
        <f>E114*H114</f>
        <v>0</v>
      </c>
      <c r="J114" s="303"/>
      <c r="K114" s="304">
        <f>SUM(I114:J114)</f>
        <v>0</v>
      </c>
      <c r="L114" s="300"/>
      <c r="M114" s="305">
        <f>IF(D114&gt;C114,C114-D114,0)</f>
        <v>0</v>
      </c>
      <c r="N114" s="306">
        <f>IF(D114&lt;C114,C114-D114,0)</f>
        <v>0</v>
      </c>
    </row>
    <row r="115" spans="1:14" s="95" customFormat="1" ht="12.75">
      <c r="A115" s="296" t="s">
        <v>195</v>
      </c>
      <c r="B115" s="297" t="s">
        <v>175</v>
      </c>
      <c r="C115" s="298">
        <v>1510.5</v>
      </c>
      <c r="D115" s="299">
        <v>1300</v>
      </c>
      <c r="E115" s="300">
        <f>IF(C115&gt;=0.9*D115,D115,C115+0.1*D115)</f>
        <v>1300</v>
      </c>
      <c r="F115" s="292"/>
      <c r="G115" s="301">
        <f>E115+F115</f>
        <v>1300</v>
      </c>
      <c r="H115" s="302">
        <v>1.7369943727242636</v>
      </c>
      <c r="I115" s="292">
        <f>E115*H115</f>
        <v>2258.092684541543</v>
      </c>
      <c r="J115" s="303"/>
      <c r="K115" s="304">
        <f>SUM(I115:J115)</f>
        <v>2258.092684541543</v>
      </c>
      <c r="L115" s="300"/>
      <c r="M115" s="305">
        <f>IF(D115&gt;C115,C115-D115,0)</f>
        <v>0</v>
      </c>
      <c r="N115" s="306">
        <f>IF(D115&lt;C115,C115-D115,0)</f>
        <v>210.5</v>
      </c>
    </row>
    <row r="116" spans="1:14" s="95" customFormat="1" ht="12.75">
      <c r="A116" s="307" t="s">
        <v>195</v>
      </c>
      <c r="B116" s="308" t="s">
        <v>176</v>
      </c>
      <c r="C116" s="309">
        <v>94</v>
      </c>
      <c r="D116" s="310">
        <v>101</v>
      </c>
      <c r="E116" s="300">
        <f>IF(C116&gt;=0.9*D116,D116,C116+0.1*D116)</f>
        <v>101</v>
      </c>
      <c r="F116" s="327"/>
      <c r="G116" s="301">
        <f>E116+F116</f>
        <v>101</v>
      </c>
      <c r="H116" s="312">
        <v>2.131382978723404</v>
      </c>
      <c r="I116" s="292">
        <f>E116*H116</f>
        <v>215.2696808510638</v>
      </c>
      <c r="J116" s="311"/>
      <c r="K116" s="304">
        <f>SUM(I116:J116)</f>
        <v>215.2696808510638</v>
      </c>
      <c r="L116" s="313"/>
      <c r="M116" s="305">
        <f>IF(D116&gt;C116,C116-D116,0)</f>
        <v>-7</v>
      </c>
      <c r="N116" s="306">
        <f>IF(D116&lt;C116,C116-D116,0)</f>
        <v>0</v>
      </c>
    </row>
    <row r="117" spans="1:14" s="95" customFormat="1" ht="13.5" thickBot="1">
      <c r="A117" s="314" t="s">
        <v>195</v>
      </c>
      <c r="B117" s="315" t="s">
        <v>177</v>
      </c>
      <c r="C117" s="298">
        <v>6521.5</v>
      </c>
      <c r="D117" s="299">
        <v>6138</v>
      </c>
      <c r="E117" s="300">
        <f>IF(C117&lt;D117,C117,D117)</f>
        <v>6138</v>
      </c>
      <c r="F117" s="327"/>
      <c r="G117" s="301">
        <f>E117+F117</f>
        <v>6138</v>
      </c>
      <c r="H117" s="302">
        <v>1.6765238058728822</v>
      </c>
      <c r="I117" s="292">
        <f>E117*H117</f>
        <v>10290.503120447751</v>
      </c>
      <c r="J117" s="311"/>
      <c r="K117" s="304">
        <f>SUM(I117:J117)</f>
        <v>10290.503120447751</v>
      </c>
      <c r="L117" s="313"/>
      <c r="M117" s="305">
        <f>IF(D117&gt;C117,C117-D117,0)</f>
        <v>0</v>
      </c>
      <c r="N117" s="306">
        <f>IF(D117&lt;C117,C117-D117,0)</f>
        <v>383.5</v>
      </c>
    </row>
    <row r="118" spans="1:14" s="95" customFormat="1" ht="13.5" thickBot="1">
      <c r="A118" s="316" t="s">
        <v>195</v>
      </c>
      <c r="B118" s="317" t="s">
        <v>178</v>
      </c>
      <c r="C118" s="318">
        <v>11235.5</v>
      </c>
      <c r="D118" s="319">
        <f>SUM(D113:D117)</f>
        <v>10065</v>
      </c>
      <c r="E118" s="319">
        <f>SUM(E113:E117)</f>
        <v>10065</v>
      </c>
      <c r="F118" s="320">
        <f>SUM(F113:F117)</f>
        <v>0</v>
      </c>
      <c r="G118" s="321">
        <f>SUM(G113:G117)</f>
        <v>10065</v>
      </c>
      <c r="H118" s="320"/>
      <c r="I118" s="320">
        <f>SUM(I113:I117)</f>
        <v>17232.143807113873</v>
      </c>
      <c r="J118" s="320">
        <f>SUM(J113:J117)</f>
        <v>0</v>
      </c>
      <c r="K118" s="322">
        <f>SUM(K113:K117)</f>
        <v>17232.143807113873</v>
      </c>
      <c r="L118" s="323">
        <f>ROUND(K118*$N$156/$K$151,0)</f>
        <v>177802</v>
      </c>
      <c r="M118" s="324">
        <f>SUM(M113:M117)</f>
        <v>-7</v>
      </c>
      <c r="N118" s="325">
        <f>SUM(N113:N117)</f>
        <v>1177.5</v>
      </c>
    </row>
    <row r="119" spans="1:14" s="95" customFormat="1" ht="12.75">
      <c r="A119" s="329" t="s">
        <v>196</v>
      </c>
      <c r="B119" s="297" t="s">
        <v>173</v>
      </c>
      <c r="C119" s="298">
        <v>3492.5</v>
      </c>
      <c r="D119" s="299">
        <v>3659</v>
      </c>
      <c r="E119" s="300">
        <f>IF(C119&gt;=0.9*D119,D119,C119+0.1*D119)</f>
        <v>3659</v>
      </c>
      <c r="F119" s="292"/>
      <c r="G119" s="301">
        <f>E119+F119</f>
        <v>3659</v>
      </c>
      <c r="H119" s="302">
        <v>1.1085984251968504</v>
      </c>
      <c r="I119" s="292">
        <f>E119*H119</f>
        <v>4056.3616377952753</v>
      </c>
      <c r="J119" s="303"/>
      <c r="K119" s="304">
        <f>SUM(I119:J119)</f>
        <v>4056.3616377952753</v>
      </c>
      <c r="L119" s="300"/>
      <c r="M119" s="305">
        <f>IF(D119&gt;C119,C119-D119,0)</f>
        <v>-166.5</v>
      </c>
      <c r="N119" s="306">
        <f>IF(D119&lt;C119,C119-D119,0)</f>
        <v>0</v>
      </c>
    </row>
    <row r="120" spans="1:14" s="95" customFormat="1" ht="12.75">
      <c r="A120" s="296" t="s">
        <v>196</v>
      </c>
      <c r="B120" s="297" t="s">
        <v>174</v>
      </c>
      <c r="C120" s="298">
        <v>0</v>
      </c>
      <c r="D120" s="299">
        <v>0</v>
      </c>
      <c r="E120" s="300">
        <f>IF(C120&gt;=0.9*D120,D120,C120+0.1*D120)</f>
        <v>0</v>
      </c>
      <c r="F120" s="292"/>
      <c r="G120" s="301">
        <f>E120+F120</f>
        <v>0</v>
      </c>
      <c r="H120" s="302"/>
      <c r="I120" s="292">
        <f>E120*H120</f>
        <v>0</v>
      </c>
      <c r="J120" s="303"/>
      <c r="K120" s="304">
        <f>SUM(I120:J120)</f>
        <v>0</v>
      </c>
      <c r="L120" s="300"/>
      <c r="M120" s="305">
        <f>IF(D120&gt;C120,C120-D120,0)</f>
        <v>0</v>
      </c>
      <c r="N120" s="306">
        <f>IF(D120&lt;C120,C120-D120,0)</f>
        <v>0</v>
      </c>
    </row>
    <row r="121" spans="1:14" s="95" customFormat="1" ht="12.75">
      <c r="A121" s="296" t="s">
        <v>196</v>
      </c>
      <c r="B121" s="297" t="s">
        <v>175</v>
      </c>
      <c r="C121" s="298">
        <v>2403</v>
      </c>
      <c r="D121" s="299">
        <v>2358</v>
      </c>
      <c r="E121" s="300">
        <f>IF(C121&gt;=0.9*D121,D121,C121+0.1*D121)</f>
        <v>2358</v>
      </c>
      <c r="F121" s="292"/>
      <c r="G121" s="301">
        <f>E121+F121</f>
        <v>2358</v>
      </c>
      <c r="H121" s="302">
        <v>1.0754681647940074</v>
      </c>
      <c r="I121" s="292">
        <f>E121*H121</f>
        <v>2535.9539325842693</v>
      </c>
      <c r="J121" s="303"/>
      <c r="K121" s="304">
        <f>SUM(I121:J121)</f>
        <v>2535.9539325842693</v>
      </c>
      <c r="L121" s="300"/>
      <c r="M121" s="305">
        <f>IF(D121&gt;C121,C121-D121,0)</f>
        <v>0</v>
      </c>
      <c r="N121" s="306">
        <f>IF(D121&lt;C121,C121-D121,0)</f>
        <v>45</v>
      </c>
    </row>
    <row r="122" spans="1:14" s="95" customFormat="1" ht="12.75">
      <c r="A122" s="307" t="s">
        <v>196</v>
      </c>
      <c r="B122" s="308" t="s">
        <v>176</v>
      </c>
      <c r="C122" s="309">
        <v>163</v>
      </c>
      <c r="D122" s="310">
        <v>152</v>
      </c>
      <c r="E122" s="300">
        <f>IF(C122&gt;=0.9*D122,D122,C122+0.1*D122)</f>
        <v>152</v>
      </c>
      <c r="F122" s="327"/>
      <c r="G122" s="301">
        <f>E122+F122</f>
        <v>152</v>
      </c>
      <c r="H122" s="312">
        <v>1.0638036809815952</v>
      </c>
      <c r="I122" s="292">
        <f>E122*H122</f>
        <v>161.69815950920247</v>
      </c>
      <c r="J122" s="311"/>
      <c r="K122" s="304">
        <f>SUM(I122:J122)</f>
        <v>161.69815950920247</v>
      </c>
      <c r="L122" s="313"/>
      <c r="M122" s="305">
        <f>IF(D122&gt;C122,C122-D122,0)</f>
        <v>0</v>
      </c>
      <c r="N122" s="306">
        <f>IF(D122&lt;C122,C122-D122,0)</f>
        <v>11</v>
      </c>
    </row>
    <row r="123" spans="1:14" s="95" customFormat="1" ht="13.5" thickBot="1">
      <c r="A123" s="314" t="s">
        <v>196</v>
      </c>
      <c r="B123" s="315" t="s">
        <v>177</v>
      </c>
      <c r="C123" s="298">
        <v>9957</v>
      </c>
      <c r="D123" s="299">
        <v>9853</v>
      </c>
      <c r="E123" s="300">
        <f>IF(C123&lt;D123,C123,D123)</f>
        <v>9853</v>
      </c>
      <c r="F123" s="327"/>
      <c r="G123" s="301">
        <f>E123+F123</f>
        <v>9853</v>
      </c>
      <c r="H123" s="302">
        <v>1.07415988751632</v>
      </c>
      <c r="I123" s="292">
        <f>E123*H123</f>
        <v>10583.697371698301</v>
      </c>
      <c r="J123" s="311"/>
      <c r="K123" s="304">
        <f>SUM(I123:J123)</f>
        <v>10583.697371698301</v>
      </c>
      <c r="L123" s="313"/>
      <c r="M123" s="305">
        <f>IF(D123&gt;C123,C123-D123,0)</f>
        <v>0</v>
      </c>
      <c r="N123" s="306">
        <f>IF(D123&lt;C123,C123-D123,0)</f>
        <v>104</v>
      </c>
    </row>
    <row r="124" spans="1:14" s="95" customFormat="1" ht="13.5" thickBot="1">
      <c r="A124" s="316" t="s">
        <v>196</v>
      </c>
      <c r="B124" s="317" t="s">
        <v>178</v>
      </c>
      <c r="C124" s="318">
        <v>16015.5</v>
      </c>
      <c r="D124" s="319">
        <f>SUM(D119:D123)</f>
        <v>16022</v>
      </c>
      <c r="E124" s="319">
        <f>SUM(E119:E123)</f>
        <v>16022</v>
      </c>
      <c r="F124" s="320">
        <f>SUM(F119:F123)</f>
        <v>0</v>
      </c>
      <c r="G124" s="321">
        <f>SUM(G119:G123)</f>
        <v>16022</v>
      </c>
      <c r="H124" s="320"/>
      <c r="I124" s="320">
        <f>SUM(I119:I123)</f>
        <v>17337.711101587047</v>
      </c>
      <c r="J124" s="320">
        <f>SUM(J119:J123)</f>
        <v>0</v>
      </c>
      <c r="K124" s="322">
        <f>SUM(K119:K123)</f>
        <v>17337.711101587047</v>
      </c>
      <c r="L124" s="323">
        <f>ROUND(K124*$N$156/$K$151,0)</f>
        <v>178891</v>
      </c>
      <c r="M124" s="324">
        <f>SUM(M119:M123)</f>
        <v>-166.5</v>
      </c>
      <c r="N124" s="325">
        <f>SUM(N119:N123)</f>
        <v>160</v>
      </c>
    </row>
    <row r="125" spans="1:14" s="95" customFormat="1" ht="12.75">
      <c r="A125" s="329" t="s">
        <v>197</v>
      </c>
      <c r="B125" s="297" t="s">
        <v>173</v>
      </c>
      <c r="C125" s="298">
        <v>6181.5</v>
      </c>
      <c r="D125" s="299">
        <v>4915</v>
      </c>
      <c r="E125" s="300">
        <f>IF(C125&gt;=0.9*D125,D125,C125+0.1*D125)</f>
        <v>4915</v>
      </c>
      <c r="F125" s="292"/>
      <c r="G125" s="301">
        <f>E125+F125</f>
        <v>4915</v>
      </c>
      <c r="H125" s="302">
        <v>1.6533964248159831</v>
      </c>
      <c r="I125" s="292">
        <f>E125*H125</f>
        <v>8126.443427970557</v>
      </c>
      <c r="J125" s="303"/>
      <c r="K125" s="304">
        <f>SUM(I125:J125)</f>
        <v>8126.443427970557</v>
      </c>
      <c r="L125" s="300"/>
      <c r="M125" s="305">
        <f>IF(D125&gt;C125,C125-D125,0)</f>
        <v>0</v>
      </c>
      <c r="N125" s="306">
        <f>IF(D125&lt;C125,C125-D125,0)</f>
        <v>1266.5</v>
      </c>
    </row>
    <row r="126" spans="1:14" s="95" customFormat="1" ht="12.75">
      <c r="A126" s="296" t="s">
        <v>197</v>
      </c>
      <c r="B126" s="297" t="s">
        <v>174</v>
      </c>
      <c r="C126" s="298">
        <v>0</v>
      </c>
      <c r="D126" s="299">
        <v>0</v>
      </c>
      <c r="E126" s="300">
        <f>IF(C126&gt;=0.9*D126,D126,C126+0.1*D126)</f>
        <v>0</v>
      </c>
      <c r="F126" s="292"/>
      <c r="G126" s="301">
        <f>E126+F126</f>
        <v>0</v>
      </c>
      <c r="H126" s="302"/>
      <c r="I126" s="292">
        <f>E126*H126</f>
        <v>0</v>
      </c>
      <c r="J126" s="303"/>
      <c r="K126" s="304">
        <f>SUM(I126:J126)</f>
        <v>0</v>
      </c>
      <c r="L126" s="300"/>
      <c r="M126" s="305">
        <f>IF(D126&gt;C126,C126-D126,0)</f>
        <v>0</v>
      </c>
      <c r="N126" s="306">
        <f>IF(D126&lt;C126,C126-D126,0)</f>
        <v>0</v>
      </c>
    </row>
    <row r="127" spans="1:14" s="95" customFormat="1" ht="12.75">
      <c r="A127" s="296" t="s">
        <v>197</v>
      </c>
      <c r="B127" s="297" t="s">
        <v>175</v>
      </c>
      <c r="C127" s="298">
        <v>3784.5</v>
      </c>
      <c r="D127" s="299">
        <v>2234</v>
      </c>
      <c r="E127" s="300">
        <f>IF(C127&gt;=0.9*D127,D127,C127+0.1*D127)</f>
        <v>2234</v>
      </c>
      <c r="F127" s="292"/>
      <c r="G127" s="301">
        <f>E127+F127</f>
        <v>2234</v>
      </c>
      <c r="H127" s="302">
        <v>1.4665662571013345</v>
      </c>
      <c r="I127" s="292">
        <f>E127*H127</f>
        <v>3276.3090183643812</v>
      </c>
      <c r="J127" s="303"/>
      <c r="K127" s="304">
        <f>SUM(I127:J127)</f>
        <v>3276.3090183643812</v>
      </c>
      <c r="L127" s="300"/>
      <c r="M127" s="305">
        <f>IF(D127&gt;C127,C127-D127,0)</f>
        <v>0</v>
      </c>
      <c r="N127" s="306">
        <f>IF(D127&lt;C127,C127-D127,0)</f>
        <v>1550.5</v>
      </c>
    </row>
    <row r="128" spans="1:14" s="95" customFormat="1" ht="12.75">
      <c r="A128" s="307" t="s">
        <v>197</v>
      </c>
      <c r="B128" s="308" t="s">
        <v>176</v>
      </c>
      <c r="C128" s="309">
        <v>224</v>
      </c>
      <c r="D128" s="310">
        <v>219</v>
      </c>
      <c r="E128" s="300">
        <f>IF(C128&gt;=0.9*D128,D128,C128+0.1*D128)</f>
        <v>219</v>
      </c>
      <c r="F128" s="327"/>
      <c r="G128" s="301">
        <f>E128+F128</f>
        <v>219</v>
      </c>
      <c r="H128" s="312">
        <v>1.8825892857142856</v>
      </c>
      <c r="I128" s="292">
        <f>E128*H128</f>
        <v>412.28705357142854</v>
      </c>
      <c r="J128" s="311"/>
      <c r="K128" s="304">
        <f>SUM(I128:J128)</f>
        <v>412.28705357142854</v>
      </c>
      <c r="L128" s="313"/>
      <c r="M128" s="305">
        <f>IF(D128&gt;C128,C128-D128,0)</f>
        <v>0</v>
      </c>
      <c r="N128" s="306">
        <f>IF(D128&lt;C128,C128-D128,0)</f>
        <v>5</v>
      </c>
    </row>
    <row r="129" spans="1:14" s="95" customFormat="1" ht="13.5" thickBot="1">
      <c r="A129" s="314" t="s">
        <v>197</v>
      </c>
      <c r="B129" s="315" t="s">
        <v>177</v>
      </c>
      <c r="C129" s="298">
        <v>12025.5</v>
      </c>
      <c r="D129" s="299">
        <v>9533</v>
      </c>
      <c r="E129" s="300">
        <f>IF(C129&lt;D129,C129,D129)</f>
        <v>9533</v>
      </c>
      <c r="F129" s="327"/>
      <c r="G129" s="301">
        <f>E129+F129</f>
        <v>9533</v>
      </c>
      <c r="H129" s="302">
        <v>1.505302898008399</v>
      </c>
      <c r="I129" s="292">
        <f>E129*H129</f>
        <v>14350.052526714067</v>
      </c>
      <c r="J129" s="311"/>
      <c r="K129" s="304">
        <f>SUM(I129:J129)</f>
        <v>14350.052526714067</v>
      </c>
      <c r="L129" s="313"/>
      <c r="M129" s="305">
        <f>IF(D129&gt;C129,C129-D129,0)</f>
        <v>0</v>
      </c>
      <c r="N129" s="306">
        <f>IF(D129&lt;C129,C129-D129,0)</f>
        <v>2492.5</v>
      </c>
    </row>
    <row r="130" spans="1:14" s="95" customFormat="1" ht="13.5" thickBot="1">
      <c r="A130" s="316" t="s">
        <v>197</v>
      </c>
      <c r="B130" s="317" t="s">
        <v>178</v>
      </c>
      <c r="C130" s="318">
        <v>22215.5</v>
      </c>
      <c r="D130" s="319">
        <f>SUM(D125:D129)</f>
        <v>16901</v>
      </c>
      <c r="E130" s="319">
        <f>SUM(E125:E129)</f>
        <v>16901</v>
      </c>
      <c r="F130" s="320">
        <f>SUM(F125:F129)</f>
        <v>0</v>
      </c>
      <c r="G130" s="321">
        <f>SUM(G125:G129)</f>
        <v>16901</v>
      </c>
      <c r="H130" s="320"/>
      <c r="I130" s="320">
        <f>SUM(I125:I129)</f>
        <v>26165.092026620434</v>
      </c>
      <c r="J130" s="320">
        <f>SUM(J125:J129)</f>
        <v>0</v>
      </c>
      <c r="K130" s="322">
        <f>SUM(K125:K129)</f>
        <v>26165.092026620434</v>
      </c>
      <c r="L130" s="323">
        <f>ROUND(K130*$N$156/$K$151,0)</f>
        <v>269973</v>
      </c>
      <c r="M130" s="324">
        <f>SUM(M125:M129)</f>
        <v>0</v>
      </c>
      <c r="N130" s="325">
        <f>SUM(N125:N129)</f>
        <v>5314.5</v>
      </c>
    </row>
    <row r="131" spans="1:14" s="95" customFormat="1" ht="12.75">
      <c r="A131" s="329" t="s">
        <v>198</v>
      </c>
      <c r="B131" s="297" t="s">
        <v>173</v>
      </c>
      <c r="C131" s="298">
        <v>3169.5</v>
      </c>
      <c r="D131" s="299">
        <v>2305</v>
      </c>
      <c r="E131" s="300">
        <f>IF(C131&gt;=0.9*D131,D131,C131+0.1*D131)</f>
        <v>2305</v>
      </c>
      <c r="F131" s="292"/>
      <c r="G131" s="301">
        <f>E131+F131</f>
        <v>2305</v>
      </c>
      <c r="H131" s="302">
        <v>1.6985549771257296</v>
      </c>
      <c r="I131" s="292">
        <f>E131*H131</f>
        <v>3915.1692222748065</v>
      </c>
      <c r="J131" s="303"/>
      <c r="K131" s="304">
        <f>SUM(I131:J131)</f>
        <v>3915.1692222748065</v>
      </c>
      <c r="L131" s="300"/>
      <c r="M131" s="305">
        <f>IF(D131&gt;C131,C131-D131,0)</f>
        <v>0</v>
      </c>
      <c r="N131" s="306">
        <f>IF(D131&lt;C131,C131-D131,0)</f>
        <v>864.5</v>
      </c>
    </row>
    <row r="132" spans="1:14" s="95" customFormat="1" ht="12.75">
      <c r="A132" s="296" t="s">
        <v>198</v>
      </c>
      <c r="B132" s="297" t="s">
        <v>174</v>
      </c>
      <c r="C132" s="298">
        <v>0</v>
      </c>
      <c r="D132" s="299">
        <v>0</v>
      </c>
      <c r="E132" s="300">
        <f>IF(C132&gt;=0.9*D132,D132,C132+0.1*D132)</f>
        <v>0</v>
      </c>
      <c r="F132" s="292"/>
      <c r="G132" s="301">
        <f>E132+F132</f>
        <v>0</v>
      </c>
      <c r="H132" s="302"/>
      <c r="I132" s="292">
        <f>E132*H132</f>
        <v>0</v>
      </c>
      <c r="J132" s="303"/>
      <c r="K132" s="304">
        <f>SUM(I132:J132)</f>
        <v>0</v>
      </c>
      <c r="L132" s="300"/>
      <c r="M132" s="305">
        <f>IF(D132&gt;C132,C132-D132,0)</f>
        <v>0</v>
      </c>
      <c r="N132" s="306">
        <f>IF(D132&lt;C132,C132-D132,0)</f>
        <v>0</v>
      </c>
    </row>
    <row r="133" spans="1:14" s="95" customFormat="1" ht="12.75">
      <c r="A133" s="296" t="s">
        <v>198</v>
      </c>
      <c r="B133" s="297" t="s">
        <v>175</v>
      </c>
      <c r="C133" s="298">
        <v>1290</v>
      </c>
      <c r="D133" s="299">
        <v>996</v>
      </c>
      <c r="E133" s="300">
        <f>IF(C133&gt;=0.9*D133,D133,C133+0.1*D133)</f>
        <v>996</v>
      </c>
      <c r="F133" s="292"/>
      <c r="G133" s="301">
        <f>E133+F133</f>
        <v>996</v>
      </c>
      <c r="H133" s="302">
        <v>1.7542713178294576</v>
      </c>
      <c r="I133" s="292">
        <f>E133*H133</f>
        <v>1747.2542325581396</v>
      </c>
      <c r="J133" s="303"/>
      <c r="K133" s="304">
        <f>SUM(I133:J133)</f>
        <v>1747.2542325581396</v>
      </c>
      <c r="L133" s="300"/>
      <c r="M133" s="305">
        <f>IF(D133&gt;C133,C133-D133,0)</f>
        <v>0</v>
      </c>
      <c r="N133" s="306">
        <f>IF(D133&lt;C133,C133-D133,0)</f>
        <v>294</v>
      </c>
    </row>
    <row r="134" spans="1:14" s="95" customFormat="1" ht="12.75">
      <c r="A134" s="307" t="s">
        <v>198</v>
      </c>
      <c r="B134" s="308" t="s">
        <v>176</v>
      </c>
      <c r="C134" s="309">
        <v>177.5</v>
      </c>
      <c r="D134" s="310">
        <v>165</v>
      </c>
      <c r="E134" s="300">
        <f>IF(C134&gt;=0.9*D134,D134,C134+0.1*D134)</f>
        <v>165</v>
      </c>
      <c r="F134" s="327"/>
      <c r="G134" s="301">
        <f>E134+F134</f>
        <v>165</v>
      </c>
      <c r="H134" s="312">
        <v>1.9329577464788734</v>
      </c>
      <c r="I134" s="292">
        <f>E134*H134</f>
        <v>318.9380281690141</v>
      </c>
      <c r="J134" s="311"/>
      <c r="K134" s="304">
        <f>SUM(I134:J134)</f>
        <v>318.9380281690141</v>
      </c>
      <c r="L134" s="313"/>
      <c r="M134" s="305">
        <f>IF(D134&gt;C134,C134-D134,0)</f>
        <v>0</v>
      </c>
      <c r="N134" s="306">
        <f>IF(D134&lt;C134,C134-D134,0)</f>
        <v>12.5</v>
      </c>
    </row>
    <row r="135" spans="1:14" s="95" customFormat="1" ht="13.5" thickBot="1">
      <c r="A135" s="296" t="s">
        <v>198</v>
      </c>
      <c r="B135" s="315" t="s">
        <v>177</v>
      </c>
      <c r="C135" s="298">
        <v>5717.5</v>
      </c>
      <c r="D135" s="299">
        <v>5255</v>
      </c>
      <c r="E135" s="300">
        <f>IF(C135&lt;D135,C135,D135)</f>
        <v>5255</v>
      </c>
      <c r="F135" s="327"/>
      <c r="G135" s="301">
        <f>E135+F135</f>
        <v>5255</v>
      </c>
      <c r="H135" s="302">
        <v>1.7292155662439879</v>
      </c>
      <c r="I135" s="292">
        <f>E135*H135</f>
        <v>9087.027800612157</v>
      </c>
      <c r="J135" s="311"/>
      <c r="K135" s="304">
        <f>SUM(I135:J135)</f>
        <v>9087.027800612157</v>
      </c>
      <c r="L135" s="313"/>
      <c r="M135" s="305">
        <f>IF(D135&gt;C135,C135-D135,0)</f>
        <v>0</v>
      </c>
      <c r="N135" s="306">
        <f>IF(D135&lt;C135,C135-D135,0)</f>
        <v>462.5</v>
      </c>
    </row>
    <row r="136" spans="1:14" s="95" customFormat="1" ht="13.5" thickBot="1">
      <c r="A136" s="316" t="s">
        <v>198</v>
      </c>
      <c r="B136" s="317" t="s">
        <v>178</v>
      </c>
      <c r="C136" s="318">
        <v>10354.5</v>
      </c>
      <c r="D136" s="319">
        <f>SUM(D131:D135)</f>
        <v>8721</v>
      </c>
      <c r="E136" s="319">
        <f>SUM(E131:E135)</f>
        <v>8721</v>
      </c>
      <c r="F136" s="320">
        <f>SUM(F131:F135)</f>
        <v>0</v>
      </c>
      <c r="G136" s="321">
        <f>SUM(G131:G135)</f>
        <v>8721</v>
      </c>
      <c r="H136" s="320"/>
      <c r="I136" s="320">
        <f>SUM(I131:I135)</f>
        <v>15068.389283614117</v>
      </c>
      <c r="J136" s="320">
        <f>SUM(J131:J135)</f>
        <v>0</v>
      </c>
      <c r="K136" s="322">
        <f>SUM(K131:K135)</f>
        <v>15068.389283614117</v>
      </c>
      <c r="L136" s="323">
        <f>ROUND(K136*$N$156/$K$151,0)</f>
        <v>155476</v>
      </c>
      <c r="M136" s="324">
        <f>SUM(M131:M135)</f>
        <v>0</v>
      </c>
      <c r="N136" s="325">
        <f>SUM(N131:N135)</f>
        <v>1633.5</v>
      </c>
    </row>
    <row r="137" spans="1:14" s="95" customFormat="1" ht="12.75">
      <c r="A137" s="329" t="s">
        <v>199</v>
      </c>
      <c r="B137" s="297" t="s">
        <v>173</v>
      </c>
      <c r="C137" s="298">
        <v>1522</v>
      </c>
      <c r="D137" s="299">
        <v>1120</v>
      </c>
      <c r="E137" s="300">
        <f>IF(C137&gt;=0.9*D137,D137,C137+0.1*D137)</f>
        <v>1120</v>
      </c>
      <c r="F137" s="292"/>
      <c r="G137" s="301">
        <f>E137+F137</f>
        <v>1120</v>
      </c>
      <c r="H137" s="302">
        <v>1.2981274638633378</v>
      </c>
      <c r="I137" s="292">
        <f>E137*H137</f>
        <v>1453.9027595269383</v>
      </c>
      <c r="J137" s="303"/>
      <c r="K137" s="304">
        <f>SUM(I137:J137)</f>
        <v>1453.9027595269383</v>
      </c>
      <c r="L137" s="300"/>
      <c r="M137" s="305">
        <f>IF(D137&gt;C137,C137-D137,0)</f>
        <v>0</v>
      </c>
      <c r="N137" s="306">
        <f>IF(D137&lt;C137,C137-D137,0)</f>
        <v>402</v>
      </c>
    </row>
    <row r="138" spans="1:14" s="95" customFormat="1" ht="12.75">
      <c r="A138" s="296" t="s">
        <v>199</v>
      </c>
      <c r="B138" s="297" t="s">
        <v>174</v>
      </c>
      <c r="C138" s="298">
        <v>0</v>
      </c>
      <c r="D138" s="299">
        <v>0</v>
      </c>
      <c r="E138" s="300">
        <f>IF(C138&gt;=0.9*D138,D138,C138+0.1*D138)</f>
        <v>0</v>
      </c>
      <c r="F138" s="292"/>
      <c r="G138" s="301">
        <f>E138+F138</f>
        <v>0</v>
      </c>
      <c r="H138" s="302"/>
      <c r="I138" s="292">
        <f>E138*H138</f>
        <v>0</v>
      </c>
      <c r="J138" s="303"/>
      <c r="K138" s="304">
        <f>SUM(I138:J138)</f>
        <v>0</v>
      </c>
      <c r="L138" s="300"/>
      <c r="M138" s="305">
        <f>IF(D138&gt;C138,C138-D138,0)</f>
        <v>0</v>
      </c>
      <c r="N138" s="306">
        <f>IF(D138&lt;C138,C138-D138,0)</f>
        <v>0</v>
      </c>
    </row>
    <row r="139" spans="1:14" s="95" customFormat="1" ht="12.75">
      <c r="A139" s="296" t="s">
        <v>199</v>
      </c>
      <c r="B139" s="297" t="s">
        <v>175</v>
      </c>
      <c r="C139" s="298">
        <v>0</v>
      </c>
      <c r="D139" s="299">
        <v>0</v>
      </c>
      <c r="E139" s="300">
        <f>IF(C139&gt;=0.9*D139,D139,C139+0.1*D139)</f>
        <v>0</v>
      </c>
      <c r="F139" s="292"/>
      <c r="G139" s="301">
        <f>E139+F139</f>
        <v>0</v>
      </c>
      <c r="H139" s="302"/>
      <c r="I139" s="292">
        <f>E139*H139</f>
        <v>0</v>
      </c>
      <c r="J139" s="303"/>
      <c r="K139" s="304">
        <f>SUM(I139:J139)</f>
        <v>0</v>
      </c>
      <c r="L139" s="300"/>
      <c r="M139" s="305">
        <f>IF(D139&gt;C139,C139-D139,0)</f>
        <v>0</v>
      </c>
      <c r="N139" s="306">
        <f>IF(D139&lt;C139,C139-D139,0)</f>
        <v>0</v>
      </c>
    </row>
    <row r="140" spans="1:14" s="95" customFormat="1" ht="12.75">
      <c r="A140" s="307" t="s">
        <v>138</v>
      </c>
      <c r="B140" s="308" t="s">
        <v>176</v>
      </c>
      <c r="C140" s="309">
        <v>0</v>
      </c>
      <c r="D140" s="310">
        <v>0</v>
      </c>
      <c r="E140" s="300">
        <f>IF(C140&gt;=0.9*D140,D140,C140+0.1*D140)</f>
        <v>0</v>
      </c>
      <c r="F140" s="327"/>
      <c r="G140" s="301">
        <f>E140+F140</f>
        <v>0</v>
      </c>
      <c r="H140" s="312"/>
      <c r="I140" s="292">
        <f>E140*H140</f>
        <v>0</v>
      </c>
      <c r="J140" s="311"/>
      <c r="K140" s="304">
        <f>SUM(I140:J140)</f>
        <v>0</v>
      </c>
      <c r="L140" s="313"/>
      <c r="M140" s="305">
        <f>IF(D140&gt;C140,C140-D140,0)</f>
        <v>0</v>
      </c>
      <c r="N140" s="306">
        <f>IF(D140&lt;C140,C140-D140,0)</f>
        <v>0</v>
      </c>
    </row>
    <row r="141" spans="1:14" s="95" customFormat="1" ht="13.5" thickBot="1">
      <c r="A141" s="314" t="s">
        <v>199</v>
      </c>
      <c r="B141" s="315" t="s">
        <v>177</v>
      </c>
      <c r="C141" s="298">
        <v>1376</v>
      </c>
      <c r="D141" s="299">
        <v>1521</v>
      </c>
      <c r="E141" s="300">
        <f>IF(C141&lt;D141,C141,D141)</f>
        <v>1376</v>
      </c>
      <c r="F141" s="327"/>
      <c r="G141" s="301">
        <f>E141+F141</f>
        <v>1376</v>
      </c>
      <c r="H141" s="302">
        <v>1.3010755813953487</v>
      </c>
      <c r="I141" s="292">
        <f>E141*H141</f>
        <v>1790.2799999999997</v>
      </c>
      <c r="J141" s="311"/>
      <c r="K141" s="304">
        <f>SUM(I141:J141)</f>
        <v>1790.2799999999997</v>
      </c>
      <c r="L141" s="313"/>
      <c r="M141" s="305">
        <f>IF(D141&gt;C141,C141-D141,0)</f>
        <v>-145</v>
      </c>
      <c r="N141" s="306">
        <f>IF(D141&lt;C141,C141-D141,0)</f>
        <v>0</v>
      </c>
    </row>
    <row r="142" spans="1:14" s="95" customFormat="1" ht="13.5" thickBot="1">
      <c r="A142" s="316" t="s">
        <v>199</v>
      </c>
      <c r="B142" s="317" t="s">
        <v>178</v>
      </c>
      <c r="C142" s="318">
        <v>2898</v>
      </c>
      <c r="D142" s="319">
        <f>SUM(D137:D141)</f>
        <v>2641</v>
      </c>
      <c r="E142" s="319">
        <f>SUM(E137:E141)</f>
        <v>2496</v>
      </c>
      <c r="F142" s="320">
        <f>SUM(F137:F141)</f>
        <v>0</v>
      </c>
      <c r="G142" s="321">
        <f>SUM(G137:G141)</f>
        <v>2496</v>
      </c>
      <c r="H142" s="320"/>
      <c r="I142" s="320">
        <f>SUM(I137:I141)</f>
        <v>3244.182759526938</v>
      </c>
      <c r="J142" s="320">
        <f>SUM(J137:J141)</f>
        <v>0</v>
      </c>
      <c r="K142" s="322">
        <f>SUM(K137:K141)</f>
        <v>3244.182759526938</v>
      </c>
      <c r="L142" s="323">
        <f>ROUND(K142*$N$156/$K$151,0)</f>
        <v>33474</v>
      </c>
      <c r="M142" s="324">
        <f>SUM(M137:M141)</f>
        <v>-145</v>
      </c>
      <c r="N142" s="325">
        <f>SUM(N137:N141)</f>
        <v>402</v>
      </c>
    </row>
    <row r="143" spans="1:14" s="95" customFormat="1" ht="12.75">
      <c r="A143" s="329" t="s">
        <v>200</v>
      </c>
      <c r="B143" s="297" t="s">
        <v>173</v>
      </c>
      <c r="C143" s="298">
        <v>1541.5</v>
      </c>
      <c r="D143" s="335">
        <v>1375</v>
      </c>
      <c r="E143" s="300">
        <f>IF(C143&gt;=0.9*D143,D143,C143+0.1*D143)</f>
        <v>1375</v>
      </c>
      <c r="F143" s="292"/>
      <c r="G143" s="301">
        <f>E143+F143</f>
        <v>1375</v>
      </c>
      <c r="H143" s="302">
        <v>1.2886344469672397</v>
      </c>
      <c r="I143" s="292">
        <f>E143*H143</f>
        <v>1771.8723645799546</v>
      </c>
      <c r="J143" s="303"/>
      <c r="K143" s="304">
        <f>SUM(I143:J143)</f>
        <v>1771.8723645799546</v>
      </c>
      <c r="L143" s="300"/>
      <c r="M143" s="305">
        <f>IF(D143&gt;C143,C143-D143,0)</f>
        <v>0</v>
      </c>
      <c r="N143" s="306">
        <f>IF(D143&lt;C143,C143-D143,0)</f>
        <v>166.5</v>
      </c>
    </row>
    <row r="144" spans="1:14" s="95" customFormat="1" ht="12.75">
      <c r="A144" s="296" t="s">
        <v>200</v>
      </c>
      <c r="B144" s="297" t="s">
        <v>174</v>
      </c>
      <c r="C144" s="298">
        <v>0</v>
      </c>
      <c r="D144" s="336">
        <v>0</v>
      </c>
      <c r="E144" s="300">
        <f>IF(C144&gt;=0.9*D144,D144,C144+0.1*D144)</f>
        <v>0</v>
      </c>
      <c r="F144" s="292"/>
      <c r="G144" s="301">
        <f>E144+F144</f>
        <v>0</v>
      </c>
      <c r="H144" s="302"/>
      <c r="I144" s="292">
        <f>E144*H144</f>
        <v>0</v>
      </c>
      <c r="J144" s="303"/>
      <c r="K144" s="304">
        <f>SUM(I144:J144)</f>
        <v>0</v>
      </c>
      <c r="L144" s="300"/>
      <c r="M144" s="305">
        <f>IF(D144&gt;C144,C144-D144,0)</f>
        <v>0</v>
      </c>
      <c r="N144" s="306">
        <f>IF(D144&lt;C144,C144-D144,0)</f>
        <v>0</v>
      </c>
    </row>
    <row r="145" spans="1:14" s="95" customFormat="1" ht="12.75">
      <c r="A145" s="296" t="s">
        <v>200</v>
      </c>
      <c r="B145" s="297" t="s">
        <v>175</v>
      </c>
      <c r="C145" s="298">
        <v>0</v>
      </c>
      <c r="D145" s="336">
        <v>0</v>
      </c>
      <c r="E145" s="300">
        <f>IF(C145&gt;=0.9*D145,D145,C145+0.1*D145)</f>
        <v>0</v>
      </c>
      <c r="F145" s="292"/>
      <c r="G145" s="301">
        <f>E145+F145</f>
        <v>0</v>
      </c>
      <c r="H145" s="302"/>
      <c r="I145" s="292">
        <f>E145*H145</f>
        <v>0</v>
      </c>
      <c r="J145" s="303"/>
      <c r="K145" s="304">
        <f>SUM(I145:J145)</f>
        <v>0</v>
      </c>
      <c r="L145" s="300"/>
      <c r="M145" s="305">
        <f>IF(D145&gt;C145,C145-D145,0)</f>
        <v>0</v>
      </c>
      <c r="N145" s="306">
        <f>IF(D145&lt;C145,C145-D145,0)</f>
        <v>0</v>
      </c>
    </row>
    <row r="146" spans="1:14" s="95" customFormat="1" ht="12.75">
      <c r="A146" s="307" t="s">
        <v>201</v>
      </c>
      <c r="B146" s="308" t="s">
        <v>176</v>
      </c>
      <c r="C146" s="309">
        <v>0</v>
      </c>
      <c r="D146" s="336">
        <v>0</v>
      </c>
      <c r="E146" s="300">
        <f>IF(C146&gt;=0.9*D146,D146,C146+0.1*D146)</f>
        <v>0</v>
      </c>
      <c r="F146" s="327"/>
      <c r="G146" s="301">
        <f>E146+F146</f>
        <v>0</v>
      </c>
      <c r="H146" s="312"/>
      <c r="I146" s="292">
        <f>E146*H146</f>
        <v>0</v>
      </c>
      <c r="J146" s="311"/>
      <c r="K146" s="304">
        <f>SUM(I146:J146)</f>
        <v>0</v>
      </c>
      <c r="L146" s="313"/>
      <c r="M146" s="305">
        <f>IF(D146&gt;C146,C146-D146,0)</f>
        <v>0</v>
      </c>
      <c r="N146" s="306">
        <f>IF(D146&lt;C146,C146-D146,0)</f>
        <v>0</v>
      </c>
    </row>
    <row r="147" spans="1:14" s="95" customFormat="1" ht="13.5" thickBot="1">
      <c r="A147" s="314" t="s">
        <v>200</v>
      </c>
      <c r="B147" s="315" t="s">
        <v>177</v>
      </c>
      <c r="C147" s="298">
        <v>2328.5</v>
      </c>
      <c r="D147" s="337">
        <v>2052</v>
      </c>
      <c r="E147" s="300">
        <f>IF(C147&lt;D147,C147,D147)</f>
        <v>2052</v>
      </c>
      <c r="F147" s="327"/>
      <c r="G147" s="301">
        <f>E147+F147</f>
        <v>2052</v>
      </c>
      <c r="H147" s="302">
        <v>1.2180201846682412</v>
      </c>
      <c r="I147" s="292">
        <f>E147*H147</f>
        <v>2499.377418939231</v>
      </c>
      <c r="J147" s="311"/>
      <c r="K147" s="304">
        <f>SUM(I147:J147)</f>
        <v>2499.377418939231</v>
      </c>
      <c r="L147" s="313"/>
      <c r="M147" s="305">
        <f>IF(D147&gt;C147,C147-D147,0)</f>
        <v>0</v>
      </c>
      <c r="N147" s="306">
        <f>IF(D147&lt;C147,C147-D147,0)</f>
        <v>276.5</v>
      </c>
    </row>
    <row r="148" spans="1:14" s="95" customFormat="1" ht="13.5" thickBot="1">
      <c r="A148" s="316" t="s">
        <v>200</v>
      </c>
      <c r="B148" s="317" t="s">
        <v>178</v>
      </c>
      <c r="C148" s="318">
        <v>3870</v>
      </c>
      <c r="D148" s="319">
        <f>SUM(D143:D147)</f>
        <v>3427</v>
      </c>
      <c r="E148" s="338">
        <f>SUM(E143:E147)</f>
        <v>3427</v>
      </c>
      <c r="F148" s="321">
        <f>SUM(F143:F147)</f>
        <v>0</v>
      </c>
      <c r="G148" s="321">
        <f>SUM(G143:G147)</f>
        <v>3427</v>
      </c>
      <c r="H148" s="320"/>
      <c r="I148" s="320">
        <f>SUM(I143:I147)</f>
        <v>4271.249783519186</v>
      </c>
      <c r="J148" s="320">
        <f>SUM(J143:J147)</f>
        <v>0</v>
      </c>
      <c r="K148" s="322">
        <f>SUM(K143:K147)</f>
        <v>4271.249783519186</v>
      </c>
      <c r="L148" s="323">
        <f>ROUND(K148*$N$156/$K$151,0)</f>
        <v>44071</v>
      </c>
      <c r="M148" s="324">
        <f>SUM(M143:M147)</f>
        <v>0</v>
      </c>
      <c r="N148" s="325">
        <f>SUM(N143:N147)</f>
        <v>443</v>
      </c>
    </row>
    <row r="149" spans="1:14" s="95" customFormat="1" ht="12.75">
      <c r="A149" s="661" t="s">
        <v>202</v>
      </c>
      <c r="B149" s="340" t="s">
        <v>173</v>
      </c>
      <c r="C149" s="341">
        <f aca="true" t="shared" si="0" ref="C149:N154">C17+C23+C29+C35+C41+C47+C53+C59+C65+C71+C77+C83+C89+C95+C101+C107+C113+C119+C125+C131+C137+C143</f>
        <v>78933</v>
      </c>
      <c r="D149" s="341">
        <f t="shared" si="0"/>
        <v>72260</v>
      </c>
      <c r="E149" s="342">
        <f t="shared" si="0"/>
        <v>71930.5</v>
      </c>
      <c r="F149" s="343">
        <f t="shared" si="0"/>
        <v>0</v>
      </c>
      <c r="G149" s="344">
        <f t="shared" si="0"/>
        <v>71930.5</v>
      </c>
      <c r="H149" s="344">
        <f t="shared" si="0"/>
        <v>36.81087505426346</v>
      </c>
      <c r="I149" s="344">
        <f t="shared" si="0"/>
        <v>113487.70703869726</v>
      </c>
      <c r="J149" s="344">
        <f t="shared" si="0"/>
        <v>0</v>
      </c>
      <c r="K149" s="343">
        <f t="shared" si="0"/>
        <v>113487.70703869726</v>
      </c>
      <c r="L149" s="342">
        <f t="shared" si="0"/>
        <v>0</v>
      </c>
      <c r="M149" s="345">
        <f t="shared" si="0"/>
        <v>-1575.5</v>
      </c>
      <c r="N149" s="346">
        <f t="shared" si="0"/>
        <v>8248.5</v>
      </c>
    </row>
    <row r="150" spans="1:14" s="95" customFormat="1" ht="12.75">
      <c r="A150" s="662" t="s">
        <v>202</v>
      </c>
      <c r="B150" s="348" t="s">
        <v>174</v>
      </c>
      <c r="C150" s="349">
        <f t="shared" si="0"/>
        <v>5610.5</v>
      </c>
      <c r="D150" s="341">
        <f t="shared" si="0"/>
        <v>5513</v>
      </c>
      <c r="E150" s="350">
        <f t="shared" si="0"/>
        <v>5513</v>
      </c>
      <c r="F150" s="351">
        <f t="shared" si="0"/>
        <v>291.5</v>
      </c>
      <c r="G150" s="352">
        <f t="shared" si="0"/>
        <v>5804.5</v>
      </c>
      <c r="H150" s="352">
        <f t="shared" si="0"/>
        <v>16.152671534060474</v>
      </c>
      <c r="I150" s="352">
        <f t="shared" si="0"/>
        <v>10388.212298902574</v>
      </c>
      <c r="J150" s="352">
        <f t="shared" si="0"/>
        <v>1020.25</v>
      </c>
      <c r="K150" s="351">
        <f t="shared" si="0"/>
        <v>11408.462298902574</v>
      </c>
      <c r="L150" s="350">
        <f t="shared" si="0"/>
        <v>0</v>
      </c>
      <c r="M150" s="353">
        <f t="shared" si="0"/>
        <v>-108.5</v>
      </c>
      <c r="N150" s="354">
        <f t="shared" si="0"/>
        <v>206</v>
      </c>
    </row>
    <row r="151" spans="1:14" s="95" customFormat="1" ht="12.75">
      <c r="A151" s="662" t="s">
        <v>202</v>
      </c>
      <c r="B151" s="348" t="s">
        <v>175</v>
      </c>
      <c r="C151" s="349">
        <f t="shared" si="0"/>
        <v>35008</v>
      </c>
      <c r="D151" s="341">
        <f t="shared" si="0"/>
        <v>29279</v>
      </c>
      <c r="E151" s="350">
        <f t="shared" si="0"/>
        <v>29279</v>
      </c>
      <c r="F151" s="351">
        <f t="shared" si="0"/>
        <v>0</v>
      </c>
      <c r="G151" s="352">
        <f t="shared" si="0"/>
        <v>29279</v>
      </c>
      <c r="H151" s="352">
        <f t="shared" si="0"/>
        <v>33.23309489348669</v>
      </c>
      <c r="I151" s="352">
        <f t="shared" si="0"/>
        <v>44089.114001513415</v>
      </c>
      <c r="J151" s="352">
        <f t="shared" si="0"/>
        <v>0</v>
      </c>
      <c r="K151" s="351">
        <f t="shared" si="0"/>
        <v>44089.114001513415</v>
      </c>
      <c r="L151" s="350">
        <f t="shared" si="0"/>
        <v>0</v>
      </c>
      <c r="M151" s="353">
        <f t="shared" si="0"/>
        <v>-61.5</v>
      </c>
      <c r="N151" s="354">
        <f t="shared" si="0"/>
        <v>5790.5</v>
      </c>
    </row>
    <row r="152" spans="1:14" s="95" customFormat="1" ht="12.75">
      <c r="A152" s="662" t="s">
        <v>202</v>
      </c>
      <c r="B152" s="348" t="s">
        <v>176</v>
      </c>
      <c r="C152" s="349">
        <f t="shared" si="0"/>
        <v>4998.5</v>
      </c>
      <c r="D152" s="341">
        <f t="shared" si="0"/>
        <v>5234</v>
      </c>
      <c r="E152" s="350">
        <f t="shared" si="0"/>
        <v>5074.400000000001</v>
      </c>
      <c r="F152" s="351">
        <f t="shared" si="0"/>
        <v>15</v>
      </c>
      <c r="G152" s="352">
        <f t="shared" si="0"/>
        <v>5089.400000000001</v>
      </c>
      <c r="H152" s="352">
        <f t="shared" si="0"/>
        <v>37.38598910244973</v>
      </c>
      <c r="I152" s="352">
        <f t="shared" si="0"/>
        <v>9316.182638669365</v>
      </c>
      <c r="J152" s="352">
        <f t="shared" si="0"/>
        <v>42</v>
      </c>
      <c r="K152" s="351">
        <f t="shared" si="0"/>
        <v>9358.182638669365</v>
      </c>
      <c r="L152" s="350">
        <f t="shared" si="0"/>
        <v>0</v>
      </c>
      <c r="M152" s="353">
        <f t="shared" si="0"/>
        <v>-444</v>
      </c>
      <c r="N152" s="354">
        <f t="shared" si="0"/>
        <v>208.5</v>
      </c>
    </row>
    <row r="153" spans="1:14" s="95" customFormat="1" ht="12.75">
      <c r="A153" s="662" t="s">
        <v>202</v>
      </c>
      <c r="B153" s="348" t="s">
        <v>177</v>
      </c>
      <c r="C153" s="349">
        <f t="shared" si="0"/>
        <v>183898</v>
      </c>
      <c r="D153" s="341">
        <f t="shared" si="0"/>
        <v>172859</v>
      </c>
      <c r="E153" s="350">
        <f t="shared" si="0"/>
        <v>172714</v>
      </c>
      <c r="F153" s="351">
        <f t="shared" si="0"/>
        <v>1290</v>
      </c>
      <c r="G153" s="352">
        <f t="shared" si="0"/>
        <v>174004</v>
      </c>
      <c r="H153" s="352">
        <f t="shared" si="0"/>
        <v>36.02737017566738</v>
      </c>
      <c r="I153" s="352">
        <f t="shared" si="0"/>
        <v>272088.0492205058</v>
      </c>
      <c r="J153" s="352">
        <f t="shared" si="0"/>
        <v>4482.1</v>
      </c>
      <c r="K153" s="351">
        <f t="shared" si="0"/>
        <v>276570.1492205058</v>
      </c>
      <c r="L153" s="350">
        <f t="shared" si="0"/>
        <v>0</v>
      </c>
      <c r="M153" s="353">
        <f t="shared" si="0"/>
        <v>-145</v>
      </c>
      <c r="N153" s="354">
        <f t="shared" si="0"/>
        <v>11184</v>
      </c>
    </row>
    <row r="154" spans="1:14" s="95" customFormat="1" ht="13.5" thickBot="1">
      <c r="A154" s="663" t="s">
        <v>202</v>
      </c>
      <c r="B154" s="356" t="s">
        <v>178</v>
      </c>
      <c r="C154" s="357">
        <f t="shared" si="0"/>
        <v>308448</v>
      </c>
      <c r="D154" s="341">
        <f t="shared" si="0"/>
        <v>285145</v>
      </c>
      <c r="E154" s="358">
        <f t="shared" si="0"/>
        <v>284510.9</v>
      </c>
      <c r="F154" s="359">
        <f t="shared" si="0"/>
        <v>1596.5</v>
      </c>
      <c r="G154" s="360">
        <f t="shared" si="0"/>
        <v>286107.4</v>
      </c>
      <c r="H154" s="360">
        <f t="shared" si="0"/>
        <v>0</v>
      </c>
      <c r="I154" s="360">
        <f t="shared" si="0"/>
        <v>449369.2651982883</v>
      </c>
      <c r="J154" s="360">
        <f t="shared" si="0"/>
        <v>5544.35</v>
      </c>
      <c r="K154" s="359">
        <f t="shared" si="0"/>
        <v>454913.6151982883</v>
      </c>
      <c r="L154" s="358">
        <f t="shared" si="0"/>
        <v>4693820</v>
      </c>
      <c r="M154" s="361">
        <f t="shared" si="0"/>
        <v>-2334.5</v>
      </c>
      <c r="N154" s="362">
        <f t="shared" si="0"/>
        <v>25637.5</v>
      </c>
    </row>
    <row r="155" spans="1:14" s="95" customFormat="1" ht="13.5" thickTop="1">
      <c r="A155" s="28"/>
      <c r="B155" s="28"/>
      <c r="C155" s="363"/>
      <c r="D155" s="28"/>
      <c r="E155" s="29"/>
      <c r="F155" s="28"/>
      <c r="G155" s="29"/>
      <c r="H155" s="28"/>
      <c r="I155" s="29"/>
      <c r="J155" s="28"/>
      <c r="K155" s="28"/>
      <c r="L155" s="28"/>
      <c r="M155" s="28"/>
      <c r="N155" s="28"/>
    </row>
    <row r="156" spans="1:14" s="95" customFormat="1" ht="12.75">
      <c r="A156" s="28"/>
      <c r="B156" s="28"/>
      <c r="C156" s="363"/>
      <c r="D156" s="28"/>
      <c r="E156" s="29"/>
      <c r="F156" s="28"/>
      <c r="G156" s="29"/>
      <c r="H156" s="28"/>
      <c r="I156" s="29"/>
      <c r="J156" s="364" t="s">
        <v>203</v>
      </c>
      <c r="K156" s="365"/>
      <c r="L156" s="365"/>
      <c r="M156" s="366"/>
      <c r="N156" s="367">
        <f>K154</f>
        <v>454913.6151982883</v>
      </c>
    </row>
    <row r="157" spans="1:14" s="95" customFormat="1" ht="12.75">
      <c r="A157" s="28"/>
      <c r="B157" s="28"/>
      <c r="C157" s="363"/>
      <c r="D157" s="28"/>
      <c r="E157" s="29"/>
      <c r="F157" s="28"/>
      <c r="G157" s="29"/>
      <c r="H157" s="28"/>
      <c r="I157" s="29"/>
      <c r="J157" s="364" t="s">
        <v>204</v>
      </c>
      <c r="K157" s="365"/>
      <c r="L157" s="365"/>
      <c r="M157" s="366"/>
      <c r="N157" s="367">
        <f>N158/N156*1000</f>
        <v>26292.398381583997</v>
      </c>
    </row>
    <row r="158" spans="1:14" s="95" customFormat="1" ht="12.75">
      <c r="A158" s="28"/>
      <c r="B158" s="28"/>
      <c r="C158" s="363"/>
      <c r="D158" s="28"/>
      <c r="E158" s="29"/>
      <c r="F158" s="28"/>
      <c r="G158" s="29"/>
      <c r="H158" s="28"/>
      <c r="I158" s="29"/>
      <c r="J158" s="297" t="s">
        <v>205</v>
      </c>
      <c r="K158" s="365"/>
      <c r="L158" s="365"/>
      <c r="M158" s="366"/>
      <c r="N158" s="367">
        <f>I214</f>
        <v>11960770</v>
      </c>
    </row>
    <row r="159" spans="1:14" s="95" customFormat="1" ht="12.75">
      <c r="A159" s="28"/>
      <c r="B159" s="28"/>
      <c r="C159" s="363"/>
      <c r="D159" s="28"/>
      <c r="E159" s="29"/>
      <c r="F159" s="28"/>
      <c r="G159" s="29"/>
      <c r="H159" s="28"/>
      <c r="I159" s="29"/>
      <c r="J159" s="368" t="s">
        <v>206</v>
      </c>
      <c r="K159" s="369"/>
      <c r="L159" s="369"/>
      <c r="M159" s="370"/>
      <c r="N159" s="371">
        <v>11960772.5</v>
      </c>
    </row>
    <row r="160" spans="1:14" s="95" customFormat="1" ht="12.75">
      <c r="A160" s="28"/>
      <c r="B160" s="28"/>
      <c r="C160" s="363"/>
      <c r="D160" s="28"/>
      <c r="E160" s="29"/>
      <c r="F160" s="28"/>
      <c r="G160" s="29"/>
      <c r="H160" s="28"/>
      <c r="I160" s="29"/>
      <c r="J160" s="28"/>
      <c r="K160" s="28"/>
      <c r="L160" s="28"/>
      <c r="M160" s="28"/>
      <c r="N160" s="29"/>
    </row>
    <row r="161" spans="1:14" s="95" customFormat="1" ht="20.25">
      <c r="A161" s="372" t="s">
        <v>207</v>
      </c>
      <c r="B161" s="28"/>
      <c r="C161" s="363"/>
      <c r="D161" s="28"/>
      <c r="E161" s="373"/>
      <c r="F161" s="28"/>
      <c r="G161" s="29"/>
      <c r="H161" s="28"/>
      <c r="I161" s="29"/>
      <c r="J161" s="28"/>
      <c r="K161" s="28"/>
      <c r="L161" s="28"/>
      <c r="M161" s="28"/>
      <c r="N161" s="374"/>
    </row>
    <row r="162" spans="1:14" s="95" customFormat="1" ht="12.75">
      <c r="A162" s="25"/>
      <c r="B162" s="25"/>
      <c r="C162" s="25"/>
      <c r="D162" s="25"/>
      <c r="E162" s="25"/>
      <c r="F162" s="25"/>
      <c r="G162" s="25"/>
      <c r="H162" s="25"/>
      <c r="I162" s="25"/>
      <c r="J162" s="25"/>
      <c r="K162" s="25"/>
      <c r="L162" s="25"/>
      <c r="M162" s="25"/>
      <c r="N162" s="25"/>
    </row>
    <row r="163" spans="1:14" s="95" customFormat="1" ht="15.75">
      <c r="A163" s="375" t="s">
        <v>208</v>
      </c>
      <c r="B163" s="28"/>
      <c r="C163" s="363"/>
      <c r="D163" s="28"/>
      <c r="E163" s="29"/>
      <c r="F163" s="28"/>
      <c r="G163" s="29"/>
      <c r="H163" s="28"/>
      <c r="I163" s="29"/>
      <c r="J163" s="28"/>
      <c r="K163" s="28"/>
      <c r="L163" s="28"/>
      <c r="M163" s="28"/>
      <c r="N163" s="28"/>
    </row>
    <row r="164" spans="1:14" s="95" customFormat="1" ht="16.5" thickBot="1">
      <c r="A164" s="375" t="s">
        <v>209</v>
      </c>
      <c r="B164" s="28"/>
      <c r="C164" s="363"/>
      <c r="D164" s="28"/>
      <c r="E164" s="29"/>
      <c r="F164" s="28"/>
      <c r="G164" s="29"/>
      <c r="H164" s="28"/>
      <c r="I164" s="29"/>
      <c r="J164" s="28"/>
      <c r="K164" s="28"/>
      <c r="L164" s="28"/>
      <c r="M164" s="28"/>
      <c r="N164" s="28"/>
    </row>
    <row r="165" spans="1:14" s="95" customFormat="1" ht="52.5" thickBot="1" thickTop="1">
      <c r="A165" s="28"/>
      <c r="B165" s="28"/>
      <c r="C165" s="266" t="s">
        <v>210</v>
      </c>
      <c r="D165" s="376" t="s">
        <v>211</v>
      </c>
      <c r="E165" s="377" t="s">
        <v>212</v>
      </c>
      <c r="F165" s="28"/>
      <c r="G165" s="29"/>
      <c r="H165" s="377" t="s">
        <v>213</v>
      </c>
      <c r="I165" s="28"/>
      <c r="J165" s="377" t="s">
        <v>214</v>
      </c>
      <c r="K165" s="378" t="s">
        <v>215</v>
      </c>
      <c r="L165" s="274" t="s">
        <v>169</v>
      </c>
      <c r="M165" s="28"/>
      <c r="N165" s="28"/>
    </row>
    <row r="166" spans="1:14" s="95" customFormat="1" ht="13.5" thickTop="1">
      <c r="A166" s="379" t="s">
        <v>216</v>
      </c>
      <c r="B166" s="380" t="s">
        <v>173</v>
      </c>
      <c r="C166" s="381">
        <v>202</v>
      </c>
      <c r="D166" s="382"/>
      <c r="E166" s="381"/>
      <c r="F166" s="383"/>
      <c r="G166" s="383">
        <f aca="true" t="shared" si="1" ref="G166:G188">E166+F166</f>
        <v>0</v>
      </c>
      <c r="H166" s="384"/>
      <c r="I166" s="385"/>
      <c r="J166" s="386"/>
      <c r="K166" s="387"/>
      <c r="L166" s="388"/>
      <c r="M166" s="389">
        <f>IF(D166&gt;C166,C166-D166,0)</f>
        <v>0</v>
      </c>
      <c r="N166" s="390"/>
    </row>
    <row r="167" spans="1:14" s="95" customFormat="1" ht="12.75">
      <c r="A167" s="391" t="s">
        <v>216</v>
      </c>
      <c r="B167" s="297" t="s">
        <v>174</v>
      </c>
      <c r="C167" s="298">
        <v>12</v>
      </c>
      <c r="D167" s="392"/>
      <c r="E167" s="298"/>
      <c r="F167" s="301"/>
      <c r="G167" s="301">
        <f t="shared" si="1"/>
        <v>0</v>
      </c>
      <c r="H167" s="302"/>
      <c r="I167" s="292"/>
      <c r="J167" s="303"/>
      <c r="K167" s="304"/>
      <c r="L167" s="300"/>
      <c r="M167" s="393">
        <f>IF(D167&gt;C167,C167-D167,0)</f>
        <v>0</v>
      </c>
      <c r="N167" s="306"/>
    </row>
    <row r="168" spans="1:14" s="95" customFormat="1" ht="12.75">
      <c r="A168" s="391" t="s">
        <v>216</v>
      </c>
      <c r="B168" s="297" t="s">
        <v>175</v>
      </c>
      <c r="C168" s="298">
        <v>167.5</v>
      </c>
      <c r="D168" s="392"/>
      <c r="E168" s="298"/>
      <c r="F168" s="301"/>
      <c r="G168" s="301">
        <f t="shared" si="1"/>
        <v>0</v>
      </c>
      <c r="H168" s="302"/>
      <c r="I168" s="292"/>
      <c r="J168" s="303"/>
      <c r="K168" s="304"/>
      <c r="L168" s="300"/>
      <c r="M168" s="393">
        <f>IF(D168&gt;C168,C168-D168,0)</f>
        <v>0</v>
      </c>
      <c r="N168" s="306"/>
    </row>
    <row r="169" spans="1:14" s="95" customFormat="1" ht="12.75">
      <c r="A169" s="394" t="s">
        <v>216</v>
      </c>
      <c r="B169" s="308" t="s">
        <v>176</v>
      </c>
      <c r="C169" s="309">
        <v>30</v>
      </c>
      <c r="D169" s="395"/>
      <c r="E169" s="309"/>
      <c r="F169" s="396"/>
      <c r="G169" s="301">
        <f t="shared" si="1"/>
        <v>0</v>
      </c>
      <c r="H169" s="312"/>
      <c r="I169" s="292"/>
      <c r="J169" s="311"/>
      <c r="K169" s="304"/>
      <c r="L169" s="313"/>
      <c r="M169" s="393">
        <f>IF(D169&gt;C169,C169-D169,0)</f>
        <v>0</v>
      </c>
      <c r="N169" s="306"/>
    </row>
    <row r="170" spans="1:14" s="95" customFormat="1" ht="13.5" thickBot="1">
      <c r="A170" s="397" t="s">
        <v>216</v>
      </c>
      <c r="B170" s="315" t="s">
        <v>177</v>
      </c>
      <c r="C170" s="298">
        <v>765.5</v>
      </c>
      <c r="D170" s="392"/>
      <c r="E170" s="398"/>
      <c r="F170" s="396"/>
      <c r="G170" s="301">
        <f t="shared" si="1"/>
        <v>0</v>
      </c>
      <c r="H170" s="302"/>
      <c r="I170" s="292"/>
      <c r="J170" s="311"/>
      <c r="K170" s="304"/>
      <c r="L170" s="313"/>
      <c r="M170" s="393">
        <f>IF(D170&gt;C170,C170-D170,0)</f>
        <v>0</v>
      </c>
      <c r="N170" s="306"/>
    </row>
    <row r="171" spans="1:14" s="95" customFormat="1" ht="13.5" thickBot="1">
      <c r="A171" s="399" t="s">
        <v>216</v>
      </c>
      <c r="B171" s="317" t="s">
        <v>178</v>
      </c>
      <c r="C171" s="318">
        <v>1177</v>
      </c>
      <c r="D171" s="400">
        <v>1256</v>
      </c>
      <c r="E171" s="401">
        <f>+C171/D171</f>
        <v>0.9371019108280255</v>
      </c>
      <c r="F171" s="321"/>
      <c r="G171" s="321"/>
      <c r="H171" s="402">
        <v>0.4585</v>
      </c>
      <c r="I171" s="320"/>
      <c r="J171" s="403">
        <v>5.828632116</v>
      </c>
      <c r="K171" s="404">
        <f>J171*D171</f>
        <v>7320.761937695999</v>
      </c>
      <c r="L171" s="323">
        <f>ROUND($N$195*H171,0)</f>
        <v>0</v>
      </c>
      <c r="M171" s="321">
        <f>SUM(M166:M170)</f>
        <v>0</v>
      </c>
      <c r="N171" s="325"/>
    </row>
    <row r="172" spans="1:14" s="95" customFormat="1" ht="12.75">
      <c r="A172" s="405" t="s">
        <v>217</v>
      </c>
      <c r="B172" s="297" t="s">
        <v>173</v>
      </c>
      <c r="C172" s="298">
        <v>0</v>
      </c>
      <c r="D172" s="392"/>
      <c r="E172" s="298"/>
      <c r="F172" s="301"/>
      <c r="G172" s="301">
        <f t="shared" si="1"/>
        <v>0</v>
      </c>
      <c r="H172" s="406"/>
      <c r="I172" s="292"/>
      <c r="J172" s="302"/>
      <c r="K172" s="304"/>
      <c r="L172" s="300"/>
      <c r="M172" s="393">
        <f>IF(D172&gt;C172,C172-D172,0)</f>
        <v>0</v>
      </c>
      <c r="N172" s="306"/>
    </row>
    <row r="173" spans="1:14" s="95" customFormat="1" ht="12.75">
      <c r="A173" s="391" t="s">
        <v>217</v>
      </c>
      <c r="B173" s="297" t="s">
        <v>174</v>
      </c>
      <c r="C173" s="298">
        <v>61</v>
      </c>
      <c r="D173" s="392"/>
      <c r="E173" s="298"/>
      <c r="F173" s="301"/>
      <c r="G173" s="301">
        <f t="shared" si="1"/>
        <v>0</v>
      </c>
      <c r="H173" s="406"/>
      <c r="I173" s="292"/>
      <c r="J173" s="302"/>
      <c r="K173" s="304"/>
      <c r="L173" s="300"/>
      <c r="M173" s="393">
        <f>IF(D173&gt;C173,C173-D173,0)</f>
        <v>0</v>
      </c>
      <c r="N173" s="306"/>
    </row>
    <row r="174" spans="1:14" s="95" customFormat="1" ht="12.75">
      <c r="A174" s="391" t="s">
        <v>217</v>
      </c>
      <c r="B174" s="297" t="s">
        <v>175</v>
      </c>
      <c r="C174" s="298">
        <v>0</v>
      </c>
      <c r="D174" s="392"/>
      <c r="E174" s="298"/>
      <c r="F174" s="301"/>
      <c r="G174" s="301">
        <f t="shared" si="1"/>
        <v>0</v>
      </c>
      <c r="H174" s="406"/>
      <c r="I174" s="292"/>
      <c r="J174" s="302"/>
      <c r="K174" s="304"/>
      <c r="L174" s="300"/>
      <c r="M174" s="393">
        <f>IF(D174&gt;C174,C174-D174,0)</f>
        <v>0</v>
      </c>
      <c r="N174" s="306"/>
    </row>
    <row r="175" spans="1:16" s="95" customFormat="1" ht="15">
      <c r="A175" s="394" t="s">
        <v>217</v>
      </c>
      <c r="B175" s="308" t="s">
        <v>176</v>
      </c>
      <c r="C175" s="309">
        <v>6</v>
      </c>
      <c r="D175" s="395"/>
      <c r="E175" s="309"/>
      <c r="F175" s="396"/>
      <c r="G175" s="301">
        <f t="shared" si="1"/>
        <v>0</v>
      </c>
      <c r="H175" s="407"/>
      <c r="I175" s="292"/>
      <c r="J175" s="302"/>
      <c r="K175" s="304"/>
      <c r="L175" s="313"/>
      <c r="M175" s="393">
        <f>IF(D175&gt;C175,C175-D175,0)</f>
        <v>0</v>
      </c>
      <c r="N175" s="306"/>
      <c r="P175" s="408"/>
    </row>
    <row r="176" spans="1:16" s="95" customFormat="1" ht="15.75" thickBot="1">
      <c r="A176" s="397" t="s">
        <v>217</v>
      </c>
      <c r="B176" s="315" t="s">
        <v>177</v>
      </c>
      <c r="C176" s="298">
        <v>243</v>
      </c>
      <c r="D176" s="392"/>
      <c r="E176" s="298"/>
      <c r="F176" s="396"/>
      <c r="G176" s="301">
        <f t="shared" si="1"/>
        <v>0</v>
      </c>
      <c r="H176" s="406"/>
      <c r="I176" s="292"/>
      <c r="J176" s="302"/>
      <c r="K176" s="304"/>
      <c r="L176" s="313"/>
      <c r="M176" s="393">
        <f>IF(D176&gt;C176,C176-D176,0)</f>
        <v>0</v>
      </c>
      <c r="N176" s="306"/>
      <c r="P176" s="408"/>
    </row>
    <row r="177" spans="1:16" s="95" customFormat="1" ht="15.75" thickBot="1">
      <c r="A177" s="399" t="s">
        <v>217</v>
      </c>
      <c r="B177" s="317" t="s">
        <v>178</v>
      </c>
      <c r="C177" s="318">
        <v>310</v>
      </c>
      <c r="D177" s="400">
        <v>327</v>
      </c>
      <c r="E177" s="401">
        <f>+C177/D177</f>
        <v>0.9480122324159022</v>
      </c>
      <c r="F177" s="321"/>
      <c r="G177" s="321"/>
      <c r="H177" s="402">
        <v>0.1195</v>
      </c>
      <c r="I177" s="320"/>
      <c r="J177" s="403">
        <v>5.9</v>
      </c>
      <c r="K177" s="404">
        <f>J177*D177</f>
        <v>1929.3000000000002</v>
      </c>
      <c r="L177" s="323">
        <f>ROUND($N$195*H177,0)</f>
        <v>0</v>
      </c>
      <c r="M177" s="321">
        <f>SUM(M172:M176)</f>
        <v>0</v>
      </c>
      <c r="N177" s="325"/>
      <c r="P177" s="408"/>
    </row>
    <row r="178" spans="1:16" s="95" customFormat="1" ht="15">
      <c r="A178" s="405" t="s">
        <v>136</v>
      </c>
      <c r="B178" s="297" t="s">
        <v>173</v>
      </c>
      <c r="C178" s="298">
        <v>75</v>
      </c>
      <c r="D178" s="392"/>
      <c r="E178" s="298"/>
      <c r="F178" s="301"/>
      <c r="G178" s="301">
        <f t="shared" si="1"/>
        <v>0</v>
      </c>
      <c r="H178" s="406"/>
      <c r="I178" s="292"/>
      <c r="J178" s="302"/>
      <c r="K178" s="304"/>
      <c r="L178" s="300"/>
      <c r="M178" s="393">
        <f>IF(D178&gt;C178,C178-D178,0)</f>
        <v>0</v>
      </c>
      <c r="N178" s="306"/>
      <c r="P178" s="408"/>
    </row>
    <row r="179" spans="1:14" s="95" customFormat="1" ht="12.75">
      <c r="A179" s="391" t="s">
        <v>136</v>
      </c>
      <c r="B179" s="297" t="s">
        <v>174</v>
      </c>
      <c r="C179" s="298">
        <v>15</v>
      </c>
      <c r="D179" s="392"/>
      <c r="E179" s="298"/>
      <c r="F179" s="301"/>
      <c r="G179" s="301">
        <f t="shared" si="1"/>
        <v>0</v>
      </c>
      <c r="H179" s="406"/>
      <c r="I179" s="292"/>
      <c r="J179" s="302"/>
      <c r="K179" s="304"/>
      <c r="L179" s="300"/>
      <c r="M179" s="393">
        <f>IF(D179&gt;C179,C179-D179,0)</f>
        <v>0</v>
      </c>
      <c r="N179" s="306"/>
    </row>
    <row r="180" spans="1:14" s="95" customFormat="1" ht="12.75">
      <c r="A180" s="391" t="s">
        <v>136</v>
      </c>
      <c r="B180" s="297" t="s">
        <v>175</v>
      </c>
      <c r="C180" s="298">
        <v>61</v>
      </c>
      <c r="D180" s="392"/>
      <c r="E180" s="298"/>
      <c r="F180" s="301"/>
      <c r="G180" s="301">
        <f t="shared" si="1"/>
        <v>0</v>
      </c>
      <c r="H180" s="406"/>
      <c r="I180" s="292"/>
      <c r="J180" s="302"/>
      <c r="K180" s="304"/>
      <c r="L180" s="300"/>
      <c r="M180" s="393">
        <f>IF(D180&gt;C180,C180-D180,0)</f>
        <v>0</v>
      </c>
      <c r="N180" s="306"/>
    </row>
    <row r="181" spans="1:14" s="95" customFormat="1" ht="12.75">
      <c r="A181" s="394" t="s">
        <v>136</v>
      </c>
      <c r="B181" s="308" t="s">
        <v>176</v>
      </c>
      <c r="C181" s="309">
        <v>12</v>
      </c>
      <c r="D181" s="395"/>
      <c r="E181" s="309"/>
      <c r="F181" s="396"/>
      <c r="G181" s="301">
        <f t="shared" si="1"/>
        <v>0</v>
      </c>
      <c r="H181" s="407"/>
      <c r="I181" s="292"/>
      <c r="J181" s="302"/>
      <c r="K181" s="304"/>
      <c r="L181" s="313"/>
      <c r="M181" s="393">
        <f>IF(D181&gt;C181,C181-D181,0)</f>
        <v>0</v>
      </c>
      <c r="N181" s="306"/>
    </row>
    <row r="182" spans="1:14" s="95" customFormat="1" ht="13.5" thickBot="1">
      <c r="A182" s="397" t="s">
        <v>136</v>
      </c>
      <c r="B182" s="315" t="s">
        <v>177</v>
      </c>
      <c r="C182" s="298">
        <v>290</v>
      </c>
      <c r="D182" s="392"/>
      <c r="E182" s="298"/>
      <c r="F182" s="396"/>
      <c r="G182" s="301">
        <f t="shared" si="1"/>
        <v>0</v>
      </c>
      <c r="H182" s="406"/>
      <c r="I182" s="292"/>
      <c r="J182" s="302"/>
      <c r="K182" s="304"/>
      <c r="L182" s="313"/>
      <c r="M182" s="393">
        <f>IF(D182&gt;C182,C182-D182,0)</f>
        <v>0</v>
      </c>
      <c r="N182" s="306"/>
    </row>
    <row r="183" spans="1:14" s="95" customFormat="1" ht="13.5" thickBot="1">
      <c r="A183" s="399" t="s">
        <v>136</v>
      </c>
      <c r="B183" s="317" t="s">
        <v>178</v>
      </c>
      <c r="C183" s="318">
        <v>453</v>
      </c>
      <c r="D183" s="400">
        <v>467</v>
      </c>
      <c r="E183" s="401">
        <f>+C183/D183</f>
        <v>0.9700214132762313</v>
      </c>
      <c r="F183" s="321"/>
      <c r="G183" s="321"/>
      <c r="H183" s="402">
        <v>0.17</v>
      </c>
      <c r="I183" s="320"/>
      <c r="J183" s="403">
        <v>5.651214128</v>
      </c>
      <c r="K183" s="404">
        <f>J183*D183</f>
        <v>2639.116997776</v>
      </c>
      <c r="L183" s="323">
        <f>ROUND($N$195*H183,0)</f>
        <v>0</v>
      </c>
      <c r="M183" s="321">
        <f>SUM(M178:M182)</f>
        <v>0</v>
      </c>
      <c r="N183" s="325"/>
    </row>
    <row r="184" spans="1:14" s="95" customFormat="1" ht="12.75">
      <c r="A184" s="405" t="s">
        <v>218</v>
      </c>
      <c r="B184" s="297" t="s">
        <v>173</v>
      </c>
      <c r="C184" s="298">
        <v>134.5</v>
      </c>
      <c r="D184" s="392"/>
      <c r="E184" s="298"/>
      <c r="F184" s="301"/>
      <c r="G184" s="301">
        <f t="shared" si="1"/>
        <v>0</v>
      </c>
      <c r="H184" s="406"/>
      <c r="I184" s="292"/>
      <c r="J184" s="302"/>
      <c r="K184" s="304"/>
      <c r="L184" s="300"/>
      <c r="M184" s="393">
        <f>IF(D184&gt;C184,C184-D184,0)</f>
        <v>0</v>
      </c>
      <c r="N184" s="306"/>
    </row>
    <row r="185" spans="1:14" s="95" customFormat="1" ht="12.75">
      <c r="A185" s="391" t="s">
        <v>218</v>
      </c>
      <c r="B185" s="297" t="s">
        <v>174</v>
      </c>
      <c r="C185" s="298">
        <v>22</v>
      </c>
      <c r="D185" s="392"/>
      <c r="E185" s="298"/>
      <c r="F185" s="301"/>
      <c r="G185" s="301">
        <f t="shared" si="1"/>
        <v>0</v>
      </c>
      <c r="H185" s="406"/>
      <c r="I185" s="292"/>
      <c r="J185" s="302"/>
      <c r="K185" s="304"/>
      <c r="L185" s="300"/>
      <c r="M185" s="393">
        <f>IF(D185&gt;C185,C185-D185,0)</f>
        <v>0</v>
      </c>
      <c r="N185" s="306"/>
    </row>
    <row r="186" spans="1:14" s="95" customFormat="1" ht="12.75">
      <c r="A186" s="391" t="s">
        <v>218</v>
      </c>
      <c r="B186" s="297" t="s">
        <v>175</v>
      </c>
      <c r="C186" s="298">
        <v>52</v>
      </c>
      <c r="D186" s="392"/>
      <c r="E186" s="298"/>
      <c r="F186" s="301"/>
      <c r="G186" s="301">
        <f t="shared" si="1"/>
        <v>0</v>
      </c>
      <c r="H186" s="406"/>
      <c r="I186" s="292"/>
      <c r="J186" s="302"/>
      <c r="K186" s="304"/>
      <c r="L186" s="300"/>
      <c r="M186" s="393">
        <f>IF(D186&gt;C186,C186-D186,0)</f>
        <v>0</v>
      </c>
      <c r="N186" s="306"/>
    </row>
    <row r="187" spans="1:14" s="95" customFormat="1" ht="12.75">
      <c r="A187" s="394" t="s">
        <v>218</v>
      </c>
      <c r="B187" s="308" t="s">
        <v>176</v>
      </c>
      <c r="C187" s="309">
        <v>12</v>
      </c>
      <c r="D187" s="395"/>
      <c r="E187" s="309"/>
      <c r="F187" s="396"/>
      <c r="G187" s="301">
        <f t="shared" si="1"/>
        <v>0</v>
      </c>
      <c r="H187" s="407"/>
      <c r="I187" s="292"/>
      <c r="J187" s="302"/>
      <c r="K187" s="304"/>
      <c r="L187" s="313"/>
      <c r="M187" s="393">
        <f>IF(D187&gt;C187,C187-D187,0)</f>
        <v>0</v>
      </c>
      <c r="N187" s="306"/>
    </row>
    <row r="188" spans="1:14" s="95" customFormat="1" ht="13.5" thickBot="1">
      <c r="A188" s="397" t="s">
        <v>218</v>
      </c>
      <c r="B188" s="315" t="s">
        <v>177</v>
      </c>
      <c r="C188" s="298">
        <v>444</v>
      </c>
      <c r="D188" s="392"/>
      <c r="E188" s="298"/>
      <c r="F188" s="396"/>
      <c r="G188" s="301">
        <f t="shared" si="1"/>
        <v>0</v>
      </c>
      <c r="H188" s="406"/>
      <c r="I188" s="292"/>
      <c r="J188" s="302"/>
      <c r="K188" s="304"/>
      <c r="L188" s="313"/>
      <c r="M188" s="393">
        <f>IF(D188&gt;C188,C188-D188,0)</f>
        <v>0</v>
      </c>
      <c r="N188" s="306"/>
    </row>
    <row r="189" spans="1:14" s="95" customFormat="1" ht="13.5" thickBot="1">
      <c r="A189" s="399" t="s">
        <v>218</v>
      </c>
      <c r="B189" s="317" t="s">
        <v>178</v>
      </c>
      <c r="C189" s="318">
        <v>664.5</v>
      </c>
      <c r="D189" s="400">
        <v>690</v>
      </c>
      <c r="E189" s="401">
        <f>+C189/D189</f>
        <v>0.9630434782608696</v>
      </c>
      <c r="F189" s="321"/>
      <c r="G189" s="321"/>
      <c r="H189" s="402">
        <v>0.252</v>
      </c>
      <c r="I189" s="320"/>
      <c r="J189" s="403">
        <v>5.9</v>
      </c>
      <c r="K189" s="404">
        <f>J189*D189</f>
        <v>4071.0000000000005</v>
      </c>
      <c r="L189" s="323">
        <f>ROUND($N$195*H189,0)</f>
        <v>0</v>
      </c>
      <c r="M189" s="321">
        <f>SUM(M184:M188)</f>
        <v>0</v>
      </c>
      <c r="N189" s="325"/>
    </row>
    <row r="190" spans="1:14" s="95" customFormat="1" ht="12.75">
      <c r="A190" s="339" t="s">
        <v>202</v>
      </c>
      <c r="B190" s="340" t="s">
        <v>173</v>
      </c>
      <c r="C190" s="341">
        <f>C166+C172+C178+C184</f>
        <v>411.5</v>
      </c>
      <c r="D190" s="409">
        <f>D166+D172+D178+D184</f>
        <v>0</v>
      </c>
      <c r="E190" s="341"/>
      <c r="F190" s="343"/>
      <c r="G190" s="344"/>
      <c r="H190" s="344"/>
      <c r="I190" s="344"/>
      <c r="J190" s="344"/>
      <c r="K190" s="343"/>
      <c r="L190" s="342"/>
      <c r="M190" s="410"/>
      <c r="N190" s="346"/>
    </row>
    <row r="191" spans="1:14" s="95" customFormat="1" ht="12.75">
      <c r="A191" s="347" t="s">
        <v>202</v>
      </c>
      <c r="B191" s="348" t="s">
        <v>174</v>
      </c>
      <c r="C191" s="349">
        <f aca="true" t="shared" si="2" ref="C191:D195">C167+C173+C179+C185</f>
        <v>110</v>
      </c>
      <c r="D191" s="411">
        <f t="shared" si="2"/>
        <v>0</v>
      </c>
      <c r="E191" s="349"/>
      <c r="F191" s="351"/>
      <c r="G191" s="352"/>
      <c r="H191" s="352"/>
      <c r="I191" s="352"/>
      <c r="J191" s="352"/>
      <c r="K191" s="351"/>
      <c r="L191" s="350"/>
      <c r="M191" s="412"/>
      <c r="N191" s="354"/>
    </row>
    <row r="192" spans="1:14" s="95" customFormat="1" ht="12.75">
      <c r="A192" s="347" t="s">
        <v>202</v>
      </c>
      <c r="B192" s="348" t="s">
        <v>175</v>
      </c>
      <c r="C192" s="349">
        <f t="shared" si="2"/>
        <v>280.5</v>
      </c>
      <c r="D192" s="411">
        <f t="shared" si="2"/>
        <v>0</v>
      </c>
      <c r="E192" s="349"/>
      <c r="F192" s="351"/>
      <c r="G192" s="352"/>
      <c r="H192" s="352"/>
      <c r="I192" s="352"/>
      <c r="J192" s="352"/>
      <c r="K192" s="351"/>
      <c r="L192" s="350"/>
      <c r="M192" s="412"/>
      <c r="N192" s="354"/>
    </row>
    <row r="193" spans="1:14" s="95" customFormat="1" ht="12.75">
      <c r="A193" s="347" t="s">
        <v>202</v>
      </c>
      <c r="B193" s="348" t="s">
        <v>176</v>
      </c>
      <c r="C193" s="349">
        <f t="shared" si="2"/>
        <v>60</v>
      </c>
      <c r="D193" s="411">
        <f t="shared" si="2"/>
        <v>0</v>
      </c>
      <c r="E193" s="349"/>
      <c r="F193" s="351"/>
      <c r="G193" s="352"/>
      <c r="H193" s="352"/>
      <c r="I193" s="352"/>
      <c r="J193" s="352"/>
      <c r="K193" s="351"/>
      <c r="L193" s="350"/>
      <c r="M193" s="412"/>
      <c r="N193" s="354"/>
    </row>
    <row r="194" spans="1:14" s="95" customFormat="1" ht="12.75">
      <c r="A194" s="347" t="s">
        <v>202</v>
      </c>
      <c r="B194" s="348" t="s">
        <v>177</v>
      </c>
      <c r="C194" s="349">
        <f t="shared" si="2"/>
        <v>1742.5</v>
      </c>
      <c r="D194" s="411">
        <f t="shared" si="2"/>
        <v>0</v>
      </c>
      <c r="E194" s="349"/>
      <c r="F194" s="351"/>
      <c r="G194" s="352"/>
      <c r="H194" s="352"/>
      <c r="I194" s="352"/>
      <c r="J194" s="352"/>
      <c r="K194" s="351"/>
      <c r="L194" s="350"/>
      <c r="M194" s="412"/>
      <c r="N194" s="354"/>
    </row>
    <row r="195" spans="1:14" s="95" customFormat="1" ht="13.5" thickBot="1">
      <c r="A195" s="355" t="s">
        <v>202</v>
      </c>
      <c r="B195" s="356" t="s">
        <v>178</v>
      </c>
      <c r="C195" s="357">
        <f t="shared" si="2"/>
        <v>2604.5</v>
      </c>
      <c r="D195" s="413">
        <f t="shared" si="2"/>
        <v>2740</v>
      </c>
      <c r="E195" s="414">
        <f>+C195/D195</f>
        <v>0.9505474452554744</v>
      </c>
      <c r="F195" s="359"/>
      <c r="G195" s="360"/>
      <c r="H195" s="415"/>
      <c r="I195" s="360"/>
      <c r="J195" s="360"/>
      <c r="K195" s="359">
        <f>K171+K177+K183+K189</f>
        <v>15960.178935471999</v>
      </c>
      <c r="L195" s="416">
        <f>L171+L177+L183+L189</f>
        <v>0</v>
      </c>
      <c r="M195" s="415"/>
      <c r="N195" s="362"/>
    </row>
    <row r="196" spans="1:14" s="95" customFormat="1" ht="13.5" thickTop="1">
      <c r="A196" s="28"/>
      <c r="B196" s="28"/>
      <c r="C196" s="27"/>
      <c r="D196" s="28"/>
      <c r="E196" s="28"/>
      <c r="F196" s="28"/>
      <c r="G196" s="28"/>
      <c r="H196" s="28"/>
      <c r="I196" s="29"/>
      <c r="J196" s="28"/>
      <c r="K196" s="28"/>
      <c r="L196" s="30"/>
      <c r="M196" s="28"/>
      <c r="N196" s="31"/>
    </row>
    <row r="197" spans="1:14" s="95" customFormat="1" ht="12.75">
      <c r="A197" s="28"/>
      <c r="B197" s="28"/>
      <c r="C197" s="27"/>
      <c r="D197" s="28"/>
      <c r="E197" s="28"/>
      <c r="F197" s="28"/>
      <c r="G197" s="28"/>
      <c r="H197" s="28"/>
      <c r="I197" s="29"/>
      <c r="J197" s="28"/>
      <c r="K197" s="297" t="s">
        <v>205</v>
      </c>
      <c r="L197" s="365"/>
      <c r="M197" s="366"/>
      <c r="N197" s="367">
        <f>I213</f>
        <v>433810</v>
      </c>
    </row>
    <row r="198" spans="1:14" s="95" customFormat="1" ht="12.75">
      <c r="A198" s="28"/>
      <c r="B198" s="28"/>
      <c r="C198" s="27"/>
      <c r="D198" s="28"/>
      <c r="E198" s="28"/>
      <c r="F198" s="28"/>
      <c r="G198" s="28"/>
      <c r="H198" s="28"/>
      <c r="I198" s="29"/>
      <c r="J198" s="28"/>
      <c r="K198" s="368" t="s">
        <v>219</v>
      </c>
      <c r="L198" s="369"/>
      <c r="M198" s="370"/>
      <c r="N198" s="371">
        <v>433809.5</v>
      </c>
    </row>
    <row r="199" spans="1:14" s="95" customFormat="1" ht="20.25">
      <c r="A199" s="372" t="s">
        <v>220</v>
      </c>
      <c r="B199" s="28"/>
      <c r="C199" s="27"/>
      <c r="D199" s="28"/>
      <c r="E199" s="28"/>
      <c r="F199" s="28"/>
      <c r="G199" s="28"/>
      <c r="H199" s="28"/>
      <c r="I199" s="29"/>
      <c r="J199" s="28"/>
      <c r="K199" s="28"/>
      <c r="L199" s="30"/>
      <c r="M199" s="28"/>
      <c r="N199" s="417"/>
    </row>
    <row r="200" spans="1:14" s="95" customFormat="1" ht="21" thickBot="1">
      <c r="A200" s="372"/>
      <c r="B200" s="28"/>
      <c r="C200" s="27"/>
      <c r="D200" s="28"/>
      <c r="E200" s="28"/>
      <c r="F200" s="28"/>
      <c r="G200" s="28"/>
      <c r="H200" s="28"/>
      <c r="I200" s="29"/>
      <c r="J200" s="28"/>
      <c r="K200" s="28"/>
      <c r="L200" s="30"/>
      <c r="M200" s="28"/>
      <c r="N200" s="418"/>
    </row>
    <row r="201" spans="1:14" s="95" customFormat="1" ht="12.75">
      <c r="A201" s="419" t="s">
        <v>202</v>
      </c>
      <c r="B201" s="420" t="s">
        <v>173</v>
      </c>
      <c r="C201" s="421">
        <f aca="true" t="shared" si="3" ref="C201:C206">C149+C190</f>
        <v>79344.5</v>
      </c>
      <c r="D201" s="422"/>
      <c r="E201" s="423"/>
      <c r="F201" s="424"/>
      <c r="G201" s="344"/>
      <c r="H201" s="344"/>
      <c r="I201" s="344"/>
      <c r="J201" s="344"/>
      <c r="K201" s="424"/>
      <c r="L201" s="423">
        <f aca="true" t="shared" si="4" ref="L201:N206">L149+L190</f>
        <v>0</v>
      </c>
      <c r="M201" s="410">
        <f t="shared" si="4"/>
        <v>-1575.5</v>
      </c>
      <c r="N201" s="425">
        <f t="shared" si="4"/>
        <v>8248.5</v>
      </c>
    </row>
    <row r="202" spans="1:14" s="95" customFormat="1" ht="12.75">
      <c r="A202" s="347" t="s">
        <v>202</v>
      </c>
      <c r="B202" s="348" t="s">
        <v>174</v>
      </c>
      <c r="C202" s="349">
        <f t="shared" si="3"/>
        <v>5720.5</v>
      </c>
      <c r="D202" s="411"/>
      <c r="E202" s="350"/>
      <c r="F202" s="351"/>
      <c r="G202" s="352"/>
      <c r="H202" s="352"/>
      <c r="I202" s="352"/>
      <c r="J202" s="352"/>
      <c r="K202" s="351"/>
      <c r="L202" s="350">
        <f t="shared" si="4"/>
        <v>0</v>
      </c>
      <c r="M202" s="412">
        <f t="shared" si="4"/>
        <v>-108.5</v>
      </c>
      <c r="N202" s="354">
        <f t="shared" si="4"/>
        <v>206</v>
      </c>
    </row>
    <row r="203" spans="1:14" s="95" customFormat="1" ht="12.75">
      <c r="A203" s="347" t="s">
        <v>202</v>
      </c>
      <c r="B203" s="348" t="s">
        <v>175</v>
      </c>
      <c r="C203" s="349">
        <f t="shared" si="3"/>
        <v>35288.5</v>
      </c>
      <c r="D203" s="411"/>
      <c r="E203" s="350"/>
      <c r="F203" s="351"/>
      <c r="G203" s="352"/>
      <c r="H203" s="352"/>
      <c r="I203" s="352"/>
      <c r="J203" s="352"/>
      <c r="K203" s="351"/>
      <c r="L203" s="350">
        <f t="shared" si="4"/>
        <v>0</v>
      </c>
      <c r="M203" s="412">
        <f t="shared" si="4"/>
        <v>-61.5</v>
      </c>
      <c r="N203" s="354">
        <f t="shared" si="4"/>
        <v>5790.5</v>
      </c>
    </row>
    <row r="204" spans="1:14" s="95" customFormat="1" ht="12.75">
      <c r="A204" s="347" t="s">
        <v>202</v>
      </c>
      <c r="B204" s="348" t="s">
        <v>176</v>
      </c>
      <c r="C204" s="349">
        <f t="shared" si="3"/>
        <v>5058.5</v>
      </c>
      <c r="D204" s="411"/>
      <c r="E204" s="350"/>
      <c r="F204" s="351"/>
      <c r="G204" s="352"/>
      <c r="H204" s="352"/>
      <c r="I204" s="352"/>
      <c r="J204" s="352"/>
      <c r="K204" s="351"/>
      <c r="L204" s="350">
        <f t="shared" si="4"/>
        <v>0</v>
      </c>
      <c r="M204" s="412">
        <f t="shared" si="4"/>
        <v>-444</v>
      </c>
      <c r="N204" s="354">
        <f t="shared" si="4"/>
        <v>208.5</v>
      </c>
    </row>
    <row r="205" spans="1:14" s="95" customFormat="1" ht="12.75">
      <c r="A205" s="347" t="s">
        <v>202</v>
      </c>
      <c r="B205" s="348" t="s">
        <v>177</v>
      </c>
      <c r="C205" s="349">
        <f t="shared" si="3"/>
        <v>185640.5</v>
      </c>
      <c r="D205" s="411"/>
      <c r="E205" s="350"/>
      <c r="F205" s="351"/>
      <c r="G205" s="352"/>
      <c r="H205" s="352"/>
      <c r="I205" s="352"/>
      <c r="J205" s="352"/>
      <c r="K205" s="351"/>
      <c r="L205" s="350">
        <f t="shared" si="4"/>
        <v>0</v>
      </c>
      <c r="M205" s="412">
        <f t="shared" si="4"/>
        <v>-145</v>
      </c>
      <c r="N205" s="354">
        <f t="shared" si="4"/>
        <v>11184</v>
      </c>
    </row>
    <row r="206" spans="1:14" s="95" customFormat="1" ht="13.5" thickBot="1">
      <c r="A206" s="355" t="s">
        <v>202</v>
      </c>
      <c r="B206" s="356" t="s">
        <v>178</v>
      </c>
      <c r="C206" s="357">
        <f t="shared" si="3"/>
        <v>311052.5</v>
      </c>
      <c r="D206" s="413">
        <f>D154+D195</f>
        <v>287885</v>
      </c>
      <c r="E206" s="416">
        <f>E154+D195</f>
        <v>287250.9</v>
      </c>
      <c r="F206" s="359">
        <f>F154+F195</f>
        <v>1596.5</v>
      </c>
      <c r="G206" s="360">
        <f>G154+G195</f>
        <v>286107.4</v>
      </c>
      <c r="H206" s="360"/>
      <c r="I206" s="360">
        <f>I154+I195</f>
        <v>449369.2651982883</v>
      </c>
      <c r="J206" s="360">
        <f>J154+J195</f>
        <v>5544.35</v>
      </c>
      <c r="K206" s="359">
        <f>K154+K195</f>
        <v>470873.79413376027</v>
      </c>
      <c r="L206" s="416">
        <f>L154+L195</f>
        <v>4693820</v>
      </c>
      <c r="M206" s="415">
        <f t="shared" si="4"/>
        <v>-2334.5</v>
      </c>
      <c r="N206" s="362">
        <f t="shared" si="4"/>
        <v>25637.5</v>
      </c>
    </row>
    <row r="207" spans="1:14" s="95" customFormat="1" ht="13.5" thickTop="1">
      <c r="A207" s="28"/>
      <c r="B207" s="28"/>
      <c r="C207" s="363"/>
      <c r="D207" s="28"/>
      <c r="E207" s="29"/>
      <c r="F207" s="28"/>
      <c r="G207" s="29"/>
      <c r="H207" s="28"/>
      <c r="I207" s="29"/>
      <c r="J207" s="28"/>
      <c r="K207" s="28"/>
      <c r="L207" s="28"/>
      <c r="M207" s="28"/>
      <c r="N207" s="28"/>
    </row>
    <row r="208" spans="1:14" s="95" customFormat="1" ht="12.75">
      <c r="A208" s="28"/>
      <c r="B208" s="28"/>
      <c r="C208" s="363"/>
      <c r="D208" s="28"/>
      <c r="E208" s="29"/>
      <c r="F208" s="28"/>
      <c r="G208" s="29"/>
      <c r="H208" s="28"/>
      <c r="I208" s="29"/>
      <c r="J208" s="28"/>
      <c r="K208" s="28"/>
      <c r="L208" s="28"/>
      <c r="M208" s="28"/>
      <c r="N208" s="28"/>
    </row>
    <row r="209" spans="1:14" s="95" customFormat="1" ht="13.5" thickBot="1">
      <c r="A209" s="28"/>
      <c r="B209" s="28"/>
      <c r="C209" s="363"/>
      <c r="D209" s="28"/>
      <c r="E209" s="29"/>
      <c r="F209" s="28"/>
      <c r="G209" s="29"/>
      <c r="H209" s="28"/>
      <c r="I209" s="29"/>
      <c r="J209" s="28"/>
      <c r="K209" s="28"/>
      <c r="L209" s="28"/>
      <c r="M209" s="28"/>
      <c r="N209" s="28"/>
    </row>
    <row r="210" spans="1:14" s="95" customFormat="1" ht="28.5" thickBot="1">
      <c r="A210" s="426" t="s">
        <v>221</v>
      </c>
      <c r="B210" s="427"/>
      <c r="C210" s="428"/>
      <c r="D210" s="429"/>
      <c r="E210" s="28"/>
      <c r="F210" s="363"/>
      <c r="G210" s="858" t="s">
        <v>222</v>
      </c>
      <c r="H210" s="859"/>
      <c r="I210" s="860"/>
      <c r="J210" s="28"/>
      <c r="K210" s="28"/>
      <c r="L210" s="28"/>
      <c r="M210" s="28"/>
      <c r="N210" s="28"/>
    </row>
    <row r="211" spans="1:14" s="95" customFormat="1" ht="12.75">
      <c r="A211" s="430" t="s">
        <v>223</v>
      </c>
      <c r="B211" s="330"/>
      <c r="C211" s="431"/>
      <c r="D211" s="432">
        <f>C206+D212</f>
        <v>312649</v>
      </c>
      <c r="E211" s="28"/>
      <c r="F211" s="28"/>
      <c r="G211" s="861"/>
      <c r="H211" s="862"/>
      <c r="I211" s="863"/>
      <c r="J211" s="25"/>
      <c r="K211" s="25"/>
      <c r="L211" s="25"/>
      <c r="M211" s="25"/>
      <c r="N211" s="28"/>
    </row>
    <row r="212" spans="1:14" s="95" customFormat="1" ht="12.75">
      <c r="A212" s="433" t="s">
        <v>224</v>
      </c>
      <c r="B212" s="296"/>
      <c r="C212" s="434"/>
      <c r="D212" s="435">
        <f>M244</f>
        <v>1596.5</v>
      </c>
      <c r="E212" s="28"/>
      <c r="F212" s="28"/>
      <c r="G212" s="287" t="s">
        <v>225</v>
      </c>
      <c r="H212" s="301"/>
      <c r="I212" s="311">
        <v>12394580</v>
      </c>
      <c r="J212" s="25"/>
      <c r="K212" s="25"/>
      <c r="L212" s="25"/>
      <c r="M212" s="25"/>
      <c r="N212" s="28"/>
    </row>
    <row r="213" spans="1:14" s="95" customFormat="1" ht="12.75">
      <c r="A213" s="433" t="s">
        <v>226</v>
      </c>
      <c r="B213" s="296"/>
      <c r="C213" s="296"/>
      <c r="D213" s="435">
        <f>C195</f>
        <v>2604.5</v>
      </c>
      <c r="E213" s="28"/>
      <c r="F213" s="28"/>
      <c r="G213" s="287" t="s">
        <v>227</v>
      </c>
      <c r="H213" s="301"/>
      <c r="I213" s="311">
        <f>ROUND(I212*3.5%,0)</f>
        <v>433810</v>
      </c>
      <c r="J213" s="25"/>
      <c r="K213" s="28"/>
      <c r="L213" s="25"/>
      <c r="M213" s="25"/>
      <c r="N213" s="28"/>
    </row>
    <row r="214" spans="1:14" s="95" customFormat="1" ht="12.75">
      <c r="A214" s="433" t="s">
        <v>228</v>
      </c>
      <c r="B214" s="296"/>
      <c r="C214" s="434"/>
      <c r="D214" s="436">
        <f>E206+D212</f>
        <v>288847.4</v>
      </c>
      <c r="E214" s="28"/>
      <c r="F214" s="28"/>
      <c r="G214" s="287" t="s">
        <v>229</v>
      </c>
      <c r="H214" s="301"/>
      <c r="I214" s="311">
        <f>I212-I213</f>
        <v>11960770</v>
      </c>
      <c r="J214" s="25"/>
      <c r="K214" s="25"/>
      <c r="L214" s="25"/>
      <c r="M214" s="25"/>
      <c r="N214" s="28"/>
    </row>
    <row r="215" spans="1:14" s="95" customFormat="1" ht="25.5" customHeight="1">
      <c r="A215" s="864" t="s">
        <v>230</v>
      </c>
      <c r="B215" s="865"/>
      <c r="C215" s="866"/>
      <c r="D215" s="437">
        <f>D214/303329-1</f>
        <v>-0.04774222049325971</v>
      </c>
      <c r="E215" s="28"/>
      <c r="F215" s="28"/>
      <c r="G215" s="287" t="s">
        <v>231</v>
      </c>
      <c r="H215" s="301"/>
      <c r="I215" s="311">
        <f>SUM(I213:I214)</f>
        <v>12394580</v>
      </c>
      <c r="J215" s="25"/>
      <c r="K215" s="25"/>
      <c r="L215" s="25"/>
      <c r="M215" s="25"/>
      <c r="N215" s="28"/>
    </row>
    <row r="216" spans="1:14" s="95" customFormat="1" ht="12.75">
      <c r="A216" s="867" t="s">
        <v>232</v>
      </c>
      <c r="B216" s="868"/>
      <c r="C216" s="869"/>
      <c r="D216" s="436">
        <f>K206</f>
        <v>470873.79413376027</v>
      </c>
      <c r="E216" s="28"/>
      <c r="F216" s="373"/>
      <c r="G216" s="28"/>
      <c r="H216" s="28"/>
      <c r="I216" s="29"/>
      <c r="L216" s="28"/>
      <c r="M216" s="31"/>
      <c r="N216" s="28"/>
    </row>
    <row r="217" spans="1:14" s="95" customFormat="1" ht="24.75" customHeight="1">
      <c r="A217" s="870" t="s">
        <v>233</v>
      </c>
      <c r="B217" s="871"/>
      <c r="C217" s="872"/>
      <c r="D217" s="244">
        <f>D216/D214</f>
        <v>1.6301818681205378</v>
      </c>
      <c r="E217" s="28"/>
      <c r="F217" s="28"/>
      <c r="G217" s="28"/>
      <c r="H217" s="28"/>
      <c r="I217" s="29"/>
      <c r="L217" s="28"/>
      <c r="M217" s="28"/>
      <c r="N217" s="28"/>
    </row>
    <row r="218" spans="1:14" s="95" customFormat="1" ht="12.75">
      <c r="A218" s="438" t="s">
        <v>234</v>
      </c>
      <c r="B218" s="439"/>
      <c r="C218" s="440"/>
      <c r="D218" s="441">
        <f>D206+M244</f>
        <v>289481.5</v>
      </c>
      <c r="E218" s="28"/>
      <c r="F218" s="28"/>
      <c r="G218" s="25"/>
      <c r="H218" s="29"/>
      <c r="I218" s="28"/>
      <c r="J218" s="442"/>
      <c r="K218" s="30"/>
      <c r="L218" s="28"/>
      <c r="M218" s="28"/>
      <c r="N218" s="28"/>
    </row>
    <row r="219" spans="1:14" s="95" customFormat="1" ht="12.75">
      <c r="A219" s="443" t="s">
        <v>106</v>
      </c>
      <c r="B219" s="444"/>
      <c r="C219" s="445"/>
      <c r="D219" s="446">
        <v>12394580</v>
      </c>
      <c r="E219" s="25"/>
      <c r="F219" s="25"/>
      <c r="G219" s="25"/>
      <c r="H219" s="29"/>
      <c r="I219" s="28"/>
      <c r="J219" s="28"/>
      <c r="K219" s="28"/>
      <c r="L219" s="28"/>
      <c r="M219" s="28"/>
      <c r="N219" s="28"/>
    </row>
    <row r="220" spans="1:14" s="95" customFormat="1" ht="12.75">
      <c r="A220" s="443" t="s">
        <v>107</v>
      </c>
      <c r="B220" s="444"/>
      <c r="C220" s="445"/>
      <c r="D220" s="436">
        <v>3598426</v>
      </c>
      <c r="E220" s="25"/>
      <c r="F220" s="25"/>
      <c r="G220" s="25"/>
      <c r="H220" s="29"/>
      <c r="I220" s="28"/>
      <c r="J220" s="28"/>
      <c r="K220" s="28"/>
      <c r="L220" s="28"/>
      <c r="M220" s="28"/>
      <c r="N220" s="28"/>
    </row>
    <row r="221" spans="1:14" s="95" customFormat="1" ht="12.75">
      <c r="A221" s="443" t="s">
        <v>235</v>
      </c>
      <c r="B221" s="444"/>
      <c r="C221" s="445"/>
      <c r="D221" s="436">
        <f>D219+D220</f>
        <v>15993006</v>
      </c>
      <c r="E221" s="25"/>
      <c r="F221" s="25"/>
      <c r="G221" s="28"/>
      <c r="H221" s="29"/>
      <c r="I221" s="28"/>
      <c r="J221" s="28"/>
      <c r="K221" s="28"/>
      <c r="L221" s="28"/>
      <c r="M221" s="28"/>
      <c r="N221" s="28"/>
    </row>
    <row r="222" spans="1:14" s="95" customFormat="1" ht="12.75">
      <c r="A222" s="438" t="s">
        <v>236</v>
      </c>
      <c r="B222" s="439"/>
      <c r="C222" s="440"/>
      <c r="D222" s="447">
        <f>D219/D216*1000</f>
        <v>26322.509671198848</v>
      </c>
      <c r="E222" s="25"/>
      <c r="F222" s="25"/>
      <c r="G222" s="28"/>
      <c r="H222" s="28"/>
      <c r="I222" s="29"/>
      <c r="J222" s="28"/>
      <c r="K222" s="28"/>
      <c r="L222" s="28"/>
      <c r="M222" s="28"/>
      <c r="N222" s="28"/>
    </row>
    <row r="223" spans="1:14" s="95" customFormat="1" ht="13.5" thickBot="1">
      <c r="A223" s="448" t="s">
        <v>237</v>
      </c>
      <c r="B223" s="449"/>
      <c r="C223" s="450"/>
      <c r="D223" s="451">
        <f>D221/D216*1000</f>
        <v>33964.52764890309</v>
      </c>
      <c r="E223" s="28"/>
      <c r="F223" s="28"/>
      <c r="G223" s="28"/>
      <c r="H223" s="28"/>
      <c r="I223" s="29"/>
      <c r="J223" s="28"/>
      <c r="K223" s="28"/>
      <c r="L223" s="28"/>
      <c r="M223" s="28"/>
      <c r="N223" s="28"/>
    </row>
    <row r="224" spans="1:14" s="95" customFormat="1" ht="12.75">
      <c r="A224" s="28"/>
      <c r="B224" s="28"/>
      <c r="C224" s="27"/>
      <c r="D224" s="28"/>
      <c r="E224" s="29"/>
      <c r="F224" s="28"/>
      <c r="G224" s="28"/>
      <c r="H224" s="28"/>
      <c r="I224" s="29"/>
      <c r="J224" s="28"/>
      <c r="K224" s="28"/>
      <c r="L224" s="28"/>
      <c r="M224" s="28"/>
      <c r="N224" s="28"/>
    </row>
    <row r="225" spans="1:14" s="95" customFormat="1" ht="12.75">
      <c r="A225" s="28"/>
      <c r="B225" s="28"/>
      <c r="C225" s="27"/>
      <c r="D225" s="28"/>
      <c r="E225" s="29"/>
      <c r="F225" s="28"/>
      <c r="G225" s="29"/>
      <c r="H225" s="29"/>
      <c r="I225" s="29"/>
      <c r="J225" s="28"/>
      <c r="K225" s="28"/>
      <c r="L225" s="28"/>
      <c r="M225" s="28"/>
      <c r="N225" s="28"/>
    </row>
    <row r="226" spans="1:14" s="95" customFormat="1" ht="12.75">
      <c r="A226" s="28"/>
      <c r="B226" s="28"/>
      <c r="C226" s="27"/>
      <c r="D226" s="28"/>
      <c r="E226" s="29"/>
      <c r="F226" s="28"/>
      <c r="G226" s="29"/>
      <c r="H226" s="29"/>
      <c r="I226" s="29"/>
      <c r="J226" s="28"/>
      <c r="K226" s="28"/>
      <c r="L226" s="28"/>
      <c r="M226" s="28"/>
      <c r="N226" s="28"/>
    </row>
    <row r="227" spans="1:14" s="95" customFormat="1" ht="18">
      <c r="A227" s="452" t="s">
        <v>238</v>
      </c>
      <c r="B227" s="28"/>
      <c r="C227" s="363"/>
      <c r="D227" s="28"/>
      <c r="E227" s="28"/>
      <c r="F227" s="28"/>
      <c r="G227" s="28"/>
      <c r="H227" s="28"/>
      <c r="I227" s="28"/>
      <c r="J227" s="29"/>
      <c r="K227" s="29"/>
      <c r="L227" s="453"/>
      <c r="M227" s="453"/>
      <c r="N227" s="453"/>
    </row>
    <row r="228" spans="1:14" s="95" customFormat="1" ht="12.75">
      <c r="A228" s="28"/>
      <c r="B228" s="28"/>
      <c r="C228" s="363"/>
      <c r="D228" s="28"/>
      <c r="E228" s="28"/>
      <c r="F228" s="28"/>
      <c r="G228" s="28"/>
      <c r="H228" s="28"/>
      <c r="I228" s="29"/>
      <c r="J228" s="29"/>
      <c r="K228" s="29"/>
      <c r="L228" s="454"/>
      <c r="M228" s="453"/>
      <c r="N228" s="454"/>
    </row>
    <row r="229" spans="1:14" s="95" customFormat="1" ht="12.75">
      <c r="A229" s="28"/>
      <c r="B229" s="28"/>
      <c r="C229" s="28"/>
      <c r="D229" s="28"/>
      <c r="E229" s="28"/>
      <c r="F229" s="28"/>
      <c r="G229" s="28"/>
      <c r="H229" s="28"/>
      <c r="I229" s="29"/>
      <c r="J229" s="28"/>
      <c r="K229" s="28"/>
      <c r="L229" s="28"/>
      <c r="M229" s="28"/>
      <c r="N229" s="28"/>
    </row>
    <row r="230" spans="1:14" s="95" customFormat="1" ht="38.25">
      <c r="A230" s="455" t="s">
        <v>104</v>
      </c>
      <c r="B230" s="455" t="s">
        <v>105</v>
      </c>
      <c r="C230" s="455" t="s">
        <v>239</v>
      </c>
      <c r="D230" s="455" t="s">
        <v>240</v>
      </c>
      <c r="E230" s="455" t="s">
        <v>159</v>
      </c>
      <c r="F230" s="455" t="s">
        <v>241</v>
      </c>
      <c r="G230" s="456" t="s">
        <v>242</v>
      </c>
      <c r="H230" s="457" t="s">
        <v>243</v>
      </c>
      <c r="I230" s="457" t="s">
        <v>244</v>
      </c>
      <c r="J230" s="457" t="s">
        <v>245</v>
      </c>
      <c r="K230" s="457" t="s">
        <v>246</v>
      </c>
      <c r="L230" s="457" t="s">
        <v>178</v>
      </c>
      <c r="M230" s="458" t="s">
        <v>247</v>
      </c>
      <c r="N230" s="458" t="s">
        <v>215</v>
      </c>
    </row>
    <row r="231" spans="1:14" s="95" customFormat="1" ht="12.75">
      <c r="A231" s="459"/>
      <c r="B231" s="459"/>
      <c r="C231" s="459"/>
      <c r="D231" s="459"/>
      <c r="E231" s="459"/>
      <c r="F231" s="459"/>
      <c r="G231" s="460"/>
      <c r="H231" s="461"/>
      <c r="I231" s="461"/>
      <c r="J231" s="461"/>
      <c r="K231" s="461"/>
      <c r="L231" s="461"/>
      <c r="M231" s="462"/>
      <c r="N231" s="462"/>
    </row>
    <row r="232" spans="1:14" s="95" customFormat="1" ht="12.75">
      <c r="A232" s="463">
        <v>11000</v>
      </c>
      <c r="B232" s="463" t="s">
        <v>248</v>
      </c>
      <c r="C232" s="463"/>
      <c r="D232" s="463"/>
      <c r="E232" s="464" t="s">
        <v>150</v>
      </c>
      <c r="F232" s="463"/>
      <c r="G232" s="465"/>
      <c r="H232" s="464">
        <v>105</v>
      </c>
      <c r="I232" s="464">
        <v>1</v>
      </c>
      <c r="J232" s="464">
        <v>33</v>
      </c>
      <c r="K232" s="464">
        <v>0</v>
      </c>
      <c r="L232" s="464">
        <v>139</v>
      </c>
      <c r="M232" s="466">
        <v>138</v>
      </c>
      <c r="N232" s="466">
        <v>483</v>
      </c>
    </row>
    <row r="233" spans="1:14" s="95" customFormat="1" ht="12.75">
      <c r="A233" s="463">
        <v>11000</v>
      </c>
      <c r="B233" s="463" t="s">
        <v>248</v>
      </c>
      <c r="C233" s="463"/>
      <c r="D233" s="463"/>
      <c r="E233" s="463" t="s">
        <v>154</v>
      </c>
      <c r="F233" s="463"/>
      <c r="G233" s="465"/>
      <c r="H233" s="464">
        <v>0</v>
      </c>
      <c r="I233" s="464">
        <v>0</v>
      </c>
      <c r="J233" s="464">
        <v>3</v>
      </c>
      <c r="K233" s="464">
        <v>0</v>
      </c>
      <c r="L233" s="464">
        <v>3</v>
      </c>
      <c r="M233" s="466">
        <v>3</v>
      </c>
      <c r="N233" s="466">
        <v>8.4</v>
      </c>
    </row>
    <row r="234" spans="1:14" s="95" customFormat="1" ht="12.75">
      <c r="A234" s="463">
        <v>11000</v>
      </c>
      <c r="B234" s="463" t="s">
        <v>248</v>
      </c>
      <c r="C234" s="463"/>
      <c r="D234" s="463"/>
      <c r="E234" s="463" t="s">
        <v>156</v>
      </c>
      <c r="F234" s="463"/>
      <c r="G234" s="465"/>
      <c r="H234" s="464">
        <v>0</v>
      </c>
      <c r="I234" s="464">
        <v>27</v>
      </c>
      <c r="J234" s="464">
        <v>632</v>
      </c>
      <c r="K234" s="464">
        <v>9</v>
      </c>
      <c r="L234" s="464">
        <v>668</v>
      </c>
      <c r="M234" s="466">
        <v>636.5</v>
      </c>
      <c r="N234" s="466">
        <v>2222.85</v>
      </c>
    </row>
    <row r="235" spans="1:14" s="95" customFormat="1" ht="12.75">
      <c r="A235" s="467">
        <v>11000</v>
      </c>
      <c r="B235" s="468" t="s">
        <v>248</v>
      </c>
      <c r="C235" s="468"/>
      <c r="D235" s="468"/>
      <c r="E235" s="468" t="s">
        <v>178</v>
      </c>
      <c r="F235" s="468"/>
      <c r="G235" s="469"/>
      <c r="H235" s="470">
        <v>105</v>
      </c>
      <c r="I235" s="470">
        <v>28</v>
      </c>
      <c r="J235" s="470">
        <v>668</v>
      </c>
      <c r="K235" s="470">
        <v>9</v>
      </c>
      <c r="L235" s="470">
        <v>810</v>
      </c>
      <c r="M235" s="471">
        <v>777.5</v>
      </c>
      <c r="N235" s="472">
        <v>2714.25</v>
      </c>
    </row>
    <row r="236" spans="1:14" s="95" customFormat="1" ht="12.75">
      <c r="A236" s="463">
        <v>14000</v>
      </c>
      <c r="B236" s="463" t="s">
        <v>117</v>
      </c>
      <c r="C236" s="463"/>
      <c r="D236" s="463"/>
      <c r="E236" s="463" t="s">
        <v>150</v>
      </c>
      <c r="F236" s="463"/>
      <c r="G236" s="465"/>
      <c r="H236" s="464">
        <v>41</v>
      </c>
      <c r="I236" s="464">
        <v>1</v>
      </c>
      <c r="J236" s="464">
        <v>31</v>
      </c>
      <c r="K236" s="464">
        <v>0</v>
      </c>
      <c r="L236" s="464">
        <v>73</v>
      </c>
      <c r="M236" s="466">
        <v>72</v>
      </c>
      <c r="N236" s="466">
        <v>252</v>
      </c>
    </row>
    <row r="237" spans="1:14" s="95" customFormat="1" ht="12.75">
      <c r="A237" s="463">
        <v>14000</v>
      </c>
      <c r="B237" s="463" t="s">
        <v>117</v>
      </c>
      <c r="C237" s="463"/>
      <c r="D237" s="463"/>
      <c r="E237" s="463" t="s">
        <v>154</v>
      </c>
      <c r="F237" s="463"/>
      <c r="G237" s="465"/>
      <c r="H237" s="464">
        <v>0</v>
      </c>
      <c r="I237" s="464">
        <v>0</v>
      </c>
      <c r="J237" s="464">
        <v>3</v>
      </c>
      <c r="K237" s="464">
        <v>0</v>
      </c>
      <c r="L237" s="464">
        <v>3</v>
      </c>
      <c r="M237" s="466">
        <v>3</v>
      </c>
      <c r="N237" s="466">
        <v>8.4</v>
      </c>
    </row>
    <row r="238" spans="1:14" s="95" customFormat="1" ht="12.75">
      <c r="A238" s="463">
        <v>14000</v>
      </c>
      <c r="B238" s="463" t="s">
        <v>117</v>
      </c>
      <c r="C238" s="463"/>
      <c r="D238" s="463"/>
      <c r="E238" s="463" t="s">
        <v>156</v>
      </c>
      <c r="F238" s="463"/>
      <c r="G238" s="465"/>
      <c r="H238" s="464">
        <v>0</v>
      </c>
      <c r="I238" s="464">
        <v>17</v>
      </c>
      <c r="J238" s="464">
        <v>294</v>
      </c>
      <c r="K238" s="464">
        <v>1</v>
      </c>
      <c r="L238" s="464">
        <v>312</v>
      </c>
      <c r="M238" s="466">
        <v>294.5</v>
      </c>
      <c r="N238" s="466">
        <v>1020.25</v>
      </c>
    </row>
    <row r="239" spans="1:14" s="95" customFormat="1" ht="12.75">
      <c r="A239" s="467">
        <v>14000</v>
      </c>
      <c r="B239" s="468" t="s">
        <v>117</v>
      </c>
      <c r="C239" s="468"/>
      <c r="D239" s="468"/>
      <c r="E239" s="468" t="s">
        <v>178</v>
      </c>
      <c r="F239" s="468"/>
      <c r="G239" s="469"/>
      <c r="H239" s="470">
        <v>41</v>
      </c>
      <c r="I239" s="470">
        <v>18</v>
      </c>
      <c r="J239" s="470">
        <v>328</v>
      </c>
      <c r="K239" s="470">
        <v>1</v>
      </c>
      <c r="L239" s="470">
        <v>388</v>
      </c>
      <c r="M239" s="471">
        <v>369.5</v>
      </c>
      <c r="N239" s="472">
        <v>1280.65</v>
      </c>
    </row>
    <row r="240" spans="1:14" s="95" customFormat="1" ht="12.75">
      <c r="A240" s="463">
        <v>15000</v>
      </c>
      <c r="B240" s="463" t="s">
        <v>249</v>
      </c>
      <c r="C240" s="463"/>
      <c r="D240" s="463"/>
      <c r="E240" s="463" t="s">
        <v>150</v>
      </c>
      <c r="F240" s="463"/>
      <c r="G240" s="465"/>
      <c r="H240" s="464">
        <v>49</v>
      </c>
      <c r="I240" s="464">
        <v>0</v>
      </c>
      <c r="J240" s="464">
        <v>32</v>
      </c>
      <c r="K240" s="464">
        <v>1</v>
      </c>
      <c r="L240" s="464">
        <v>82</v>
      </c>
      <c r="M240" s="466">
        <v>81.5</v>
      </c>
      <c r="N240" s="466">
        <v>285.25</v>
      </c>
    </row>
    <row r="241" spans="1:14" s="95" customFormat="1" ht="12.75">
      <c r="A241" s="463">
        <v>15000</v>
      </c>
      <c r="B241" s="463" t="s">
        <v>249</v>
      </c>
      <c r="C241" s="463"/>
      <c r="D241" s="463"/>
      <c r="E241" s="463" t="s">
        <v>154</v>
      </c>
      <c r="F241" s="463"/>
      <c r="G241" s="465"/>
      <c r="H241" s="464">
        <v>0</v>
      </c>
      <c r="I241" s="464">
        <v>0</v>
      </c>
      <c r="J241" s="464">
        <v>9</v>
      </c>
      <c r="K241" s="464">
        <v>0</v>
      </c>
      <c r="L241" s="464">
        <v>9</v>
      </c>
      <c r="M241" s="464">
        <v>9</v>
      </c>
      <c r="N241" s="464">
        <v>25.2</v>
      </c>
    </row>
    <row r="242" spans="1:14" s="95" customFormat="1" ht="12.75">
      <c r="A242" s="463">
        <v>15000</v>
      </c>
      <c r="B242" s="463" t="s">
        <v>249</v>
      </c>
      <c r="C242" s="463"/>
      <c r="D242" s="463"/>
      <c r="E242" s="463" t="s">
        <v>156</v>
      </c>
      <c r="F242" s="463"/>
      <c r="G242" s="465"/>
      <c r="H242" s="464">
        <v>0</v>
      </c>
      <c r="I242" s="464">
        <v>15</v>
      </c>
      <c r="J242" s="464">
        <v>359</v>
      </c>
      <c r="K242" s="464">
        <v>0</v>
      </c>
      <c r="L242" s="464">
        <v>374</v>
      </c>
      <c r="M242" s="466">
        <v>359</v>
      </c>
      <c r="N242" s="466">
        <v>1239</v>
      </c>
    </row>
    <row r="243" spans="1:14" s="95" customFormat="1" ht="12.75">
      <c r="A243" s="467">
        <v>15000</v>
      </c>
      <c r="B243" s="468" t="s">
        <v>249</v>
      </c>
      <c r="C243" s="468"/>
      <c r="D243" s="468"/>
      <c r="E243" s="468" t="s">
        <v>178</v>
      </c>
      <c r="F243" s="468"/>
      <c r="G243" s="469"/>
      <c r="H243" s="470">
        <v>49</v>
      </c>
      <c r="I243" s="470">
        <v>15</v>
      </c>
      <c r="J243" s="470">
        <v>400</v>
      </c>
      <c r="K243" s="470">
        <v>1</v>
      </c>
      <c r="L243" s="470">
        <v>465</v>
      </c>
      <c r="M243" s="471">
        <v>449.5</v>
      </c>
      <c r="N243" s="472">
        <v>1549.45</v>
      </c>
    </row>
    <row r="244" spans="1:14" s="95" customFormat="1" ht="12.75">
      <c r="A244" s="467"/>
      <c r="B244" s="468" t="s">
        <v>178</v>
      </c>
      <c r="C244" s="468"/>
      <c r="D244" s="468"/>
      <c r="E244" s="468"/>
      <c r="F244" s="468"/>
      <c r="G244" s="469"/>
      <c r="H244" s="470">
        <v>195</v>
      </c>
      <c r="I244" s="470">
        <v>61</v>
      </c>
      <c r="J244" s="470">
        <v>1396</v>
      </c>
      <c r="K244" s="470">
        <v>11</v>
      </c>
      <c r="L244" s="470">
        <v>1663</v>
      </c>
      <c r="M244" s="471">
        <v>1596.5</v>
      </c>
      <c r="N244" s="472">
        <v>5544.35</v>
      </c>
    </row>
  </sheetData>
  <sheetProtection/>
  <mergeCells count="6">
    <mergeCell ref="A6:B6"/>
    <mergeCell ref="E7:N8"/>
    <mergeCell ref="G210:I211"/>
    <mergeCell ref="A215:C215"/>
    <mergeCell ref="A216:C216"/>
    <mergeCell ref="A217:C217"/>
  </mergeCells>
  <printOptions horizontalCentered="1"/>
  <pageMargins left="0.35433070866141736" right="0.2362204724409449" top="0.5905511811023623" bottom="0.31496062992125984" header="0.2755905511811024" footer="0.1968503937007874"/>
  <pageSetup fitToHeight="42" horizontalDpi="600" verticalDpi="600" orientation="portrait" paperSize="9" scale="45" r:id="rId2"/>
  <headerFooter alignWithMargins="0">
    <oddHeader>&amp;R&amp;"Arial,Kurzíva"&amp;14Kapitola B.3.I.1&amp;"Arial,Tučné"
Tabulka č.4/str.&amp;P</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G37"/>
  <sheetViews>
    <sheetView zoomScale="90" zoomScaleNormal="90" zoomScalePageLayoutView="70" workbookViewId="0" topLeftCell="A1">
      <selection activeCell="AE40" sqref="AE40"/>
    </sheetView>
  </sheetViews>
  <sheetFormatPr defaultColWidth="7.7109375" defaultRowHeight="12.75"/>
  <cols>
    <col min="1" max="1" width="5.7109375" style="33" customWidth="1"/>
    <col min="2" max="2" width="11.00390625" style="33" customWidth="1"/>
    <col min="3" max="3" width="8.421875" style="33" customWidth="1"/>
    <col min="4" max="4" width="7.140625" style="33" customWidth="1"/>
    <col min="5" max="5" width="7.57421875" style="33" customWidth="1"/>
    <col min="6" max="6" width="7.421875" style="33" customWidth="1"/>
    <col min="7" max="7" width="9.140625" style="34" customWidth="1"/>
    <col min="8" max="8" width="7.28125" style="34" customWidth="1"/>
    <col min="9" max="9" width="8.8515625" style="34" customWidth="1"/>
    <col min="10" max="10" width="7.421875" style="34" customWidth="1"/>
    <col min="11" max="11" width="2.28125" style="34" customWidth="1"/>
    <col min="12" max="12" width="9.28125" style="34" customWidth="1"/>
    <col min="13" max="13" width="8.00390625" style="33" customWidth="1"/>
    <col min="14" max="14" width="6.7109375" style="33" customWidth="1"/>
    <col min="15" max="15" width="6.8515625" style="35" bestFit="1" customWidth="1"/>
    <col min="16" max="16" width="6.7109375" style="33" customWidth="1"/>
    <col min="17" max="17" width="6.8515625" style="33" customWidth="1"/>
    <col min="18" max="18" width="6.421875" style="33" customWidth="1"/>
    <col min="19" max="19" width="6.7109375" style="33" customWidth="1"/>
    <col min="20" max="20" width="8.421875" style="33" customWidth="1"/>
    <col min="21" max="21" width="7.00390625" style="33" customWidth="1"/>
    <col min="22" max="22" width="8.57421875" style="33" customWidth="1"/>
    <col min="23" max="23" width="6.7109375" style="33" customWidth="1"/>
    <col min="24" max="24" width="6.8515625" style="36" bestFit="1" customWidth="1"/>
    <col min="25" max="25" width="8.28125" style="33" customWidth="1"/>
    <col min="26" max="26" width="8.8515625" style="33" customWidth="1"/>
    <col min="27" max="27" width="3.7109375" style="33" customWidth="1"/>
    <col min="28" max="28" width="9.8515625" style="33" customWidth="1"/>
    <col min="29" max="29" width="9.00390625" style="33" bestFit="1" customWidth="1"/>
    <col min="30" max="16384" width="7.7109375" style="33" customWidth="1"/>
  </cols>
  <sheetData>
    <row r="1" spans="1:6" ht="19.5">
      <c r="A1" s="32" t="s">
        <v>271</v>
      </c>
      <c r="B1" s="38"/>
      <c r="C1" s="38"/>
      <c r="D1" s="38"/>
      <c r="E1" s="38"/>
      <c r="F1" s="38"/>
    </row>
    <row r="5" spans="1:27" ht="15">
      <c r="A5" s="473" t="s">
        <v>251</v>
      </c>
      <c r="B5" s="473"/>
      <c r="G5" s="33"/>
      <c r="H5" s="33"/>
      <c r="M5" s="34"/>
      <c r="N5" s="34"/>
      <c r="O5" s="34"/>
      <c r="R5" s="35"/>
      <c r="X5" s="33"/>
      <c r="AA5" s="36"/>
    </row>
    <row r="6" spans="7:27" ht="15.75" thickBot="1">
      <c r="G6" s="33"/>
      <c r="H6" s="33"/>
      <c r="M6" s="34"/>
      <c r="N6" s="34"/>
      <c r="O6" s="34"/>
      <c r="R6" s="35"/>
      <c r="X6" s="33"/>
      <c r="AA6" s="36"/>
    </row>
    <row r="7" spans="1:29" s="36" customFormat="1" ht="23.25" customHeight="1">
      <c r="A7" s="893" t="s">
        <v>252</v>
      </c>
      <c r="B7" s="894"/>
      <c r="C7" s="899" t="s">
        <v>253</v>
      </c>
      <c r="D7" s="900"/>
      <c r="E7" s="900"/>
      <c r="F7" s="900"/>
      <c r="G7" s="900"/>
      <c r="H7" s="900"/>
      <c r="I7" s="900"/>
      <c r="J7" s="900"/>
      <c r="K7" s="900"/>
      <c r="L7" s="901"/>
      <c r="M7" s="474"/>
      <c r="N7" s="902" t="s">
        <v>254</v>
      </c>
      <c r="O7" s="903"/>
      <c r="P7" s="903"/>
      <c r="Q7" s="904"/>
      <c r="S7" s="905" t="s">
        <v>255</v>
      </c>
      <c r="T7" s="906"/>
      <c r="U7" s="906"/>
      <c r="V7" s="906"/>
      <c r="W7" s="906"/>
      <c r="X7" s="906"/>
      <c r="Y7" s="906"/>
      <c r="Z7" s="907"/>
      <c r="AB7" s="908" t="s">
        <v>256</v>
      </c>
      <c r="AC7" s="911" t="s">
        <v>257</v>
      </c>
    </row>
    <row r="8" spans="1:29" s="476" customFormat="1" ht="27" customHeight="1">
      <c r="A8" s="895"/>
      <c r="B8" s="896"/>
      <c r="C8" s="914" t="s">
        <v>258</v>
      </c>
      <c r="D8" s="915"/>
      <c r="E8" s="918" t="s">
        <v>259</v>
      </c>
      <c r="F8" s="915"/>
      <c r="G8" s="877" t="s">
        <v>260</v>
      </c>
      <c r="H8" s="877"/>
      <c r="I8" s="877" t="s">
        <v>261</v>
      </c>
      <c r="J8" s="877"/>
      <c r="K8" s="877" t="s">
        <v>262</v>
      </c>
      <c r="L8" s="878"/>
      <c r="M8" s="475"/>
      <c r="N8" s="881" t="s">
        <v>263</v>
      </c>
      <c r="O8" s="882"/>
      <c r="P8" s="885" t="s">
        <v>264</v>
      </c>
      <c r="Q8" s="886"/>
      <c r="S8" s="889" t="s">
        <v>265</v>
      </c>
      <c r="T8" s="890"/>
      <c r="U8" s="873" t="s">
        <v>266</v>
      </c>
      <c r="V8" s="890"/>
      <c r="W8" s="873" t="s">
        <v>267</v>
      </c>
      <c r="X8" s="890"/>
      <c r="Y8" s="873" t="s">
        <v>268</v>
      </c>
      <c r="Z8" s="874"/>
      <c r="AB8" s="909"/>
      <c r="AC8" s="912"/>
    </row>
    <row r="9" spans="1:29" s="36" customFormat="1" ht="24" customHeight="1" thickBot="1">
      <c r="A9" s="897"/>
      <c r="B9" s="898"/>
      <c r="C9" s="916"/>
      <c r="D9" s="917"/>
      <c r="E9" s="919"/>
      <c r="F9" s="917"/>
      <c r="G9" s="879"/>
      <c r="H9" s="879"/>
      <c r="I9" s="879"/>
      <c r="J9" s="879"/>
      <c r="K9" s="879"/>
      <c r="L9" s="880"/>
      <c r="M9" s="475"/>
      <c r="N9" s="883"/>
      <c r="O9" s="884"/>
      <c r="P9" s="887"/>
      <c r="Q9" s="888"/>
      <c r="S9" s="891"/>
      <c r="T9" s="892"/>
      <c r="U9" s="875"/>
      <c r="V9" s="892"/>
      <c r="W9" s="875"/>
      <c r="X9" s="892"/>
      <c r="Y9" s="875"/>
      <c r="Z9" s="876"/>
      <c r="AB9" s="910"/>
      <c r="AC9" s="913"/>
    </row>
    <row r="10" spans="1:29" s="36" customFormat="1" ht="12.75" customHeight="1" thickBot="1">
      <c r="A10" s="477" t="s">
        <v>269</v>
      </c>
      <c r="B10" s="478"/>
      <c r="C10" s="479"/>
      <c r="D10" s="480">
        <v>0.26</v>
      </c>
      <c r="E10" s="481"/>
      <c r="F10" s="480">
        <v>0.02</v>
      </c>
      <c r="G10" s="481"/>
      <c r="H10" s="480">
        <v>0.03</v>
      </c>
      <c r="I10" s="481"/>
      <c r="J10" s="480">
        <v>0.05</v>
      </c>
      <c r="K10" s="482"/>
      <c r="L10" s="483">
        <v>0.03</v>
      </c>
      <c r="M10" s="484"/>
      <c r="N10" s="479"/>
      <c r="O10" s="485">
        <v>0.02</v>
      </c>
      <c r="P10" s="486"/>
      <c r="Q10" s="487">
        <v>0.32</v>
      </c>
      <c r="R10" s="488"/>
      <c r="S10" s="479"/>
      <c r="T10" s="489">
        <v>0.02</v>
      </c>
      <c r="U10" s="490"/>
      <c r="V10" s="491">
        <v>0.03</v>
      </c>
      <c r="W10" s="490"/>
      <c r="X10" s="491">
        <v>0.11</v>
      </c>
      <c r="Y10" s="490"/>
      <c r="Z10" s="492">
        <v>0.11</v>
      </c>
      <c r="AB10" s="493">
        <v>1</v>
      </c>
      <c r="AC10" s="494">
        <v>3578306</v>
      </c>
    </row>
    <row r="11" spans="1:29" s="510" customFormat="1" ht="12.75" customHeight="1">
      <c r="A11" s="477" t="s">
        <v>270</v>
      </c>
      <c r="B11" s="495"/>
      <c r="C11" s="496"/>
      <c r="D11" s="497">
        <f>SUM(D12:D37)</f>
        <v>1</v>
      </c>
      <c r="E11" s="498"/>
      <c r="F11" s="497">
        <f>SUM(F12:F37)</f>
        <v>1</v>
      </c>
      <c r="G11" s="498"/>
      <c r="H11" s="497">
        <f>SUM(H12:H37)</f>
        <v>1.0000000000000002</v>
      </c>
      <c r="I11" s="498"/>
      <c r="J11" s="497">
        <f>SUM(J12:J37)</f>
        <v>0.9999999999999999</v>
      </c>
      <c r="K11" s="499"/>
      <c r="L11" s="500">
        <f>SUM(L12:L37)</f>
        <v>1</v>
      </c>
      <c r="M11" s="501"/>
      <c r="N11" s="496"/>
      <c r="O11" s="497">
        <f>SUM(O12:O37)</f>
        <v>1</v>
      </c>
      <c r="P11" s="502"/>
      <c r="Q11" s="503">
        <f>SUM(Q12:Q37)</f>
        <v>0.9999999999999998</v>
      </c>
      <c r="R11" s="504"/>
      <c r="S11" s="505"/>
      <c r="T11" s="506">
        <f>SUM(T12:T37)</f>
        <v>0.9999999999999999</v>
      </c>
      <c r="U11" s="502"/>
      <c r="V11" s="507">
        <f>SUM(V12:V37)</f>
        <v>1.0000000000000002</v>
      </c>
      <c r="W11" s="502"/>
      <c r="X11" s="507">
        <f>SUM(X12:X37)</f>
        <v>1.0000000000000002</v>
      </c>
      <c r="Y11" s="502"/>
      <c r="Z11" s="503">
        <f>SUM(Z12:Z37)</f>
        <v>1</v>
      </c>
      <c r="AA11" s="504"/>
      <c r="AB11" s="508">
        <f>SUM(AB12:AB37)</f>
        <v>0.9999999999999998</v>
      </c>
      <c r="AC11" s="509">
        <f>SUM(AC12:AC37)</f>
        <v>3598425.9999999995</v>
      </c>
    </row>
    <row r="12" spans="1:33" s="36" customFormat="1" ht="11.25" customHeight="1">
      <c r="A12" s="511">
        <v>11000</v>
      </c>
      <c r="B12" s="512" t="s">
        <v>114</v>
      </c>
      <c r="C12" s="513"/>
      <c r="D12" s="514">
        <v>0.2790466984621607</v>
      </c>
      <c r="E12" s="515"/>
      <c r="F12" s="514">
        <v>0</v>
      </c>
      <c r="G12" s="515"/>
      <c r="H12" s="514">
        <v>0.26210190742246275</v>
      </c>
      <c r="I12" s="501"/>
      <c r="J12" s="514">
        <v>0.24726685801952142</v>
      </c>
      <c r="K12" s="516"/>
      <c r="L12" s="517">
        <v>0.3110529460727017</v>
      </c>
      <c r="M12" s="501"/>
      <c r="N12" s="513"/>
      <c r="O12" s="514">
        <v>0.23753065494463005</v>
      </c>
      <c r="P12" s="518"/>
      <c r="Q12" s="519">
        <v>0.13487918043281535</v>
      </c>
      <c r="R12" s="516"/>
      <c r="S12" s="520"/>
      <c r="T12" s="484">
        <v>0.17606442682864404</v>
      </c>
      <c r="U12" s="518"/>
      <c r="V12" s="521">
        <v>0.547513709918565</v>
      </c>
      <c r="W12" s="518"/>
      <c r="X12" s="521">
        <v>0.1543999523574498</v>
      </c>
      <c r="Y12" s="518"/>
      <c r="Z12" s="519">
        <v>0.24194099231761138</v>
      </c>
      <c r="AA12" s="516"/>
      <c r="AB12" s="522">
        <v>0.2135664344695996</v>
      </c>
      <c r="AC12" s="523">
        <v>768503.0105227034</v>
      </c>
      <c r="AG12" s="488"/>
    </row>
    <row r="13" spans="1:33" s="36" customFormat="1" ht="11.25" customHeight="1">
      <c r="A13" s="511">
        <v>12000</v>
      </c>
      <c r="B13" s="512" t="s">
        <v>115</v>
      </c>
      <c r="C13" s="513"/>
      <c r="D13" s="514">
        <v>0.03858410431032915</v>
      </c>
      <c r="E13" s="515"/>
      <c r="F13" s="514">
        <v>0</v>
      </c>
      <c r="G13" s="515"/>
      <c r="H13" s="514">
        <v>0.03226276175243507</v>
      </c>
      <c r="I13" s="501"/>
      <c r="J13" s="514">
        <v>0.017942476476505827</v>
      </c>
      <c r="K13" s="516"/>
      <c r="L13" s="517">
        <v>0.024309207133146233</v>
      </c>
      <c r="M13" s="501"/>
      <c r="N13" s="513"/>
      <c r="O13" s="514">
        <v>0.029551470174264165</v>
      </c>
      <c r="P13" s="524"/>
      <c r="Q13" s="519">
        <v>0.04209187381023415</v>
      </c>
      <c r="R13" s="516"/>
      <c r="S13" s="525"/>
      <c r="T13" s="484">
        <v>0.010642245395830939</v>
      </c>
      <c r="U13" s="524"/>
      <c r="V13" s="521">
        <v>0.00010699764605178686</v>
      </c>
      <c r="W13" s="524"/>
      <c r="X13" s="521">
        <v>0.016752177832930478</v>
      </c>
      <c r="Y13" s="524"/>
      <c r="Z13" s="519">
        <v>0.009954181927337217</v>
      </c>
      <c r="AA13" s="516"/>
      <c r="AB13" s="522">
        <v>0.02984038018607464</v>
      </c>
      <c r="AC13" s="523">
        <v>107378.39991145582</v>
      </c>
      <c r="AG13" s="488"/>
    </row>
    <row r="14" spans="1:33" s="36" customFormat="1" ht="11.25" customHeight="1">
      <c r="A14" s="511">
        <v>13000</v>
      </c>
      <c r="B14" s="512" t="s">
        <v>116</v>
      </c>
      <c r="C14" s="513"/>
      <c r="D14" s="514">
        <v>0.008770508699537709</v>
      </c>
      <c r="E14" s="515"/>
      <c r="F14" s="514">
        <v>0.055334337911671826</v>
      </c>
      <c r="G14" s="515"/>
      <c r="H14" s="514">
        <v>0.0076396559978612845</v>
      </c>
      <c r="I14" s="501"/>
      <c r="J14" s="514">
        <v>0.012715927798590796</v>
      </c>
      <c r="K14" s="516"/>
      <c r="L14" s="517">
        <v>0.011092554279723565</v>
      </c>
      <c r="M14" s="501"/>
      <c r="N14" s="513"/>
      <c r="O14" s="514">
        <v>0.022701653033908642</v>
      </c>
      <c r="P14" s="524"/>
      <c r="Q14" s="519">
        <v>0.02721008301987501</v>
      </c>
      <c r="R14" s="516"/>
      <c r="S14" s="525"/>
      <c r="T14" s="484">
        <v>0.007553334441527811</v>
      </c>
      <c r="U14" s="524"/>
      <c r="V14" s="521">
        <v>0.0015857769935242005</v>
      </c>
      <c r="W14" s="524"/>
      <c r="X14" s="521">
        <v>0.032029355005453224</v>
      </c>
      <c r="Y14" s="524"/>
      <c r="Z14" s="519">
        <v>0.010506648511266366</v>
      </c>
      <c r="AA14" s="516"/>
      <c r="AB14" s="522">
        <v>0.01862367194657095</v>
      </c>
      <c r="AC14" s="523">
        <v>67015.90534801153</v>
      </c>
      <c r="AG14" s="488"/>
    </row>
    <row r="15" spans="1:33" s="36" customFormat="1" ht="11.25" customHeight="1">
      <c r="A15" s="511">
        <v>14000</v>
      </c>
      <c r="B15" s="512" t="s">
        <v>117</v>
      </c>
      <c r="C15" s="513"/>
      <c r="D15" s="514">
        <v>0.10724610678075565</v>
      </c>
      <c r="E15" s="515"/>
      <c r="F15" s="514">
        <v>0</v>
      </c>
      <c r="G15" s="515"/>
      <c r="H15" s="514">
        <v>0.11661688540924572</v>
      </c>
      <c r="I15" s="501"/>
      <c r="J15" s="514">
        <v>0.16540184205699307</v>
      </c>
      <c r="K15" s="516"/>
      <c r="L15" s="517">
        <v>0.09633684366230719</v>
      </c>
      <c r="M15" s="501"/>
      <c r="N15" s="513"/>
      <c r="O15" s="514">
        <v>0.08921335091450554</v>
      </c>
      <c r="P15" s="524"/>
      <c r="Q15" s="519">
        <v>0.10377304316025533</v>
      </c>
      <c r="R15" s="516"/>
      <c r="S15" s="525"/>
      <c r="T15" s="484">
        <v>0.2184833412451624</v>
      </c>
      <c r="U15" s="524"/>
      <c r="V15" s="521">
        <v>0.1323003213441875</v>
      </c>
      <c r="W15" s="524"/>
      <c r="X15" s="521">
        <v>0.1927089925385354</v>
      </c>
      <c r="Y15" s="524"/>
      <c r="Z15" s="519">
        <v>0.16863502462286864</v>
      </c>
      <c r="AA15" s="516"/>
      <c r="AB15" s="522">
        <v>0.1256209661562783</v>
      </c>
      <c r="AC15" s="523">
        <v>452037.75076187187</v>
      </c>
      <c r="AG15" s="488"/>
    </row>
    <row r="16" spans="1:33" s="36" customFormat="1" ht="11.25" customHeight="1">
      <c r="A16" s="511">
        <v>15000</v>
      </c>
      <c r="B16" s="512" t="s">
        <v>118</v>
      </c>
      <c r="C16" s="513"/>
      <c r="D16" s="514">
        <v>0.07819225402185515</v>
      </c>
      <c r="E16" s="515"/>
      <c r="F16" s="514">
        <v>0.0029501287560583928</v>
      </c>
      <c r="G16" s="515"/>
      <c r="H16" s="514">
        <v>0.062265595680246935</v>
      </c>
      <c r="I16" s="501"/>
      <c r="J16" s="514">
        <v>0.009357028621670194</v>
      </c>
      <c r="K16" s="516"/>
      <c r="L16" s="517">
        <v>0.05766934907392558</v>
      </c>
      <c r="M16" s="501"/>
      <c r="N16" s="513"/>
      <c r="O16" s="514">
        <v>0.053961344870921725</v>
      </c>
      <c r="P16" s="524"/>
      <c r="Q16" s="519">
        <v>0.0641919559323087</v>
      </c>
      <c r="R16" s="516"/>
      <c r="S16" s="525"/>
      <c r="T16" s="484">
        <v>0.03982996255136821</v>
      </c>
      <c r="U16" s="524"/>
      <c r="V16" s="521">
        <v>0.07115331753950513</v>
      </c>
      <c r="W16" s="524"/>
      <c r="X16" s="521">
        <v>0.07212923572508234</v>
      </c>
      <c r="Y16" s="524"/>
      <c r="Z16" s="519">
        <v>0.037499203336838524</v>
      </c>
      <c r="AA16" s="516"/>
      <c r="AB16" s="522">
        <v>0.061065939546841225</v>
      </c>
      <c r="AC16" s="523">
        <v>219741.26457978168</v>
      </c>
      <c r="AG16" s="488"/>
    </row>
    <row r="17" spans="1:33" s="36" customFormat="1" ht="11.25" customHeight="1">
      <c r="A17" s="511">
        <v>16000</v>
      </c>
      <c r="B17" s="512" t="s">
        <v>119</v>
      </c>
      <c r="C17" s="513"/>
      <c r="D17" s="514">
        <v>0.009863182354646212</v>
      </c>
      <c r="E17" s="515"/>
      <c r="F17" s="514">
        <v>0</v>
      </c>
      <c r="G17" s="515"/>
      <c r="H17" s="514">
        <v>0.007245622181329139</v>
      </c>
      <c r="I17" s="501"/>
      <c r="J17" s="514">
        <v>0</v>
      </c>
      <c r="K17" s="516"/>
      <c r="L17" s="517">
        <v>0.01682671580221933</v>
      </c>
      <c r="M17" s="501"/>
      <c r="N17" s="513"/>
      <c r="O17" s="514">
        <v>0.014684006023559187</v>
      </c>
      <c r="P17" s="524"/>
      <c r="Q17" s="519">
        <v>0.01897099826269264</v>
      </c>
      <c r="R17" s="516"/>
      <c r="S17" s="525"/>
      <c r="T17" s="484">
        <v>0.014610303973717476</v>
      </c>
      <c r="U17" s="524"/>
      <c r="V17" s="521">
        <v>0.060634720871668255</v>
      </c>
      <c r="W17" s="524"/>
      <c r="X17" s="521">
        <v>0.005042242902284362</v>
      </c>
      <c r="Y17" s="524"/>
      <c r="Z17" s="519">
        <v>0.008196160216125344</v>
      </c>
      <c r="AA17" s="516"/>
      <c r="AB17" s="522">
        <v>0.013218490231416307</v>
      </c>
      <c r="AC17" s="523">
        <v>47565.758929474454</v>
      </c>
      <c r="AG17" s="488"/>
    </row>
    <row r="18" spans="1:33" s="36" customFormat="1" ht="11.25" customHeight="1">
      <c r="A18" s="511">
        <v>17000</v>
      </c>
      <c r="B18" s="512" t="s">
        <v>120</v>
      </c>
      <c r="C18" s="513"/>
      <c r="D18" s="514">
        <v>0.014661874487494505</v>
      </c>
      <c r="E18" s="515"/>
      <c r="F18" s="514">
        <v>0.06690342560108434</v>
      </c>
      <c r="G18" s="515"/>
      <c r="H18" s="514">
        <v>0.008742334829734254</v>
      </c>
      <c r="I18" s="501"/>
      <c r="J18" s="514">
        <v>0.004197164670391036</v>
      </c>
      <c r="K18" s="516"/>
      <c r="L18" s="517">
        <v>0.0121244816251982</v>
      </c>
      <c r="M18" s="501"/>
      <c r="N18" s="513"/>
      <c r="O18" s="514">
        <v>0.02304934961520868</v>
      </c>
      <c r="P18" s="524"/>
      <c r="Q18" s="519">
        <v>0.03404224597395741</v>
      </c>
      <c r="R18" s="516"/>
      <c r="S18" s="525"/>
      <c r="T18" s="484">
        <v>0.012627056952323159</v>
      </c>
      <c r="U18" s="524"/>
      <c r="V18" s="521">
        <v>0.024603073728262412</v>
      </c>
      <c r="W18" s="524"/>
      <c r="X18" s="521">
        <v>0.02977054874919861</v>
      </c>
      <c r="Y18" s="524"/>
      <c r="Z18" s="519">
        <v>0.01869375153053917</v>
      </c>
      <c r="AA18" s="516"/>
      <c r="AB18" s="522">
        <v>0.02366226849409904</v>
      </c>
      <c r="AC18" s="523">
        <v>85146.92216814683</v>
      </c>
      <c r="AG18" s="488"/>
    </row>
    <row r="19" spans="1:33" s="36" customFormat="1" ht="11.25" customHeight="1">
      <c r="A19" s="511">
        <v>18000</v>
      </c>
      <c r="B19" s="512" t="s">
        <v>121</v>
      </c>
      <c r="C19" s="513"/>
      <c r="D19" s="514">
        <v>0.0073543069726385935</v>
      </c>
      <c r="E19" s="515"/>
      <c r="F19" s="514">
        <v>0</v>
      </c>
      <c r="G19" s="515"/>
      <c r="H19" s="514">
        <v>0.003096765792467493</v>
      </c>
      <c r="I19" s="501"/>
      <c r="J19" s="514">
        <v>0.0018349574309219371</v>
      </c>
      <c r="K19" s="516"/>
      <c r="L19" s="517">
        <v>0.009074179649724132</v>
      </c>
      <c r="M19" s="501"/>
      <c r="N19" s="513"/>
      <c r="O19" s="514">
        <v>0.01865996996865294</v>
      </c>
      <c r="P19" s="524"/>
      <c r="Q19" s="519">
        <v>0.024968455042252206</v>
      </c>
      <c r="R19" s="516"/>
      <c r="S19" s="525"/>
      <c r="T19" s="484">
        <v>0.0037482709849468803</v>
      </c>
      <c r="U19" s="524"/>
      <c r="V19" s="521">
        <v>0.0027445278764264814</v>
      </c>
      <c r="W19" s="524"/>
      <c r="X19" s="521">
        <v>0.021781401295720315</v>
      </c>
      <c r="Y19" s="524"/>
      <c r="Z19" s="519">
        <v>0.011033528155315423</v>
      </c>
      <c r="AA19" s="516"/>
      <c r="AB19" s="522">
        <v>0.014499072282647909</v>
      </c>
      <c r="AC19" s="523">
        <v>52173.83867775958</v>
      </c>
      <c r="AG19" s="488"/>
    </row>
    <row r="20" spans="1:33" s="36" customFormat="1" ht="11.25" customHeight="1">
      <c r="A20" s="511">
        <v>19000</v>
      </c>
      <c r="B20" s="512" t="s">
        <v>122</v>
      </c>
      <c r="C20" s="513"/>
      <c r="D20" s="514">
        <v>0.007640294846778561</v>
      </c>
      <c r="E20" s="515"/>
      <c r="F20" s="514">
        <v>0.025448719369804928</v>
      </c>
      <c r="G20" s="515"/>
      <c r="H20" s="514">
        <v>0.003599792663880183</v>
      </c>
      <c r="I20" s="501"/>
      <c r="J20" s="514">
        <v>0.0005374694768991825</v>
      </c>
      <c r="K20" s="516"/>
      <c r="L20" s="517">
        <v>0.010228424427134895</v>
      </c>
      <c r="M20" s="501"/>
      <c r="N20" s="513"/>
      <c r="O20" s="514">
        <v>0.011260342986817556</v>
      </c>
      <c r="P20" s="524"/>
      <c r="Q20" s="519">
        <v>0.02105157022048326</v>
      </c>
      <c r="R20" s="516"/>
      <c r="S20" s="525"/>
      <c r="T20" s="484">
        <v>0.018359611048919238</v>
      </c>
      <c r="U20" s="524"/>
      <c r="V20" s="521">
        <v>0</v>
      </c>
      <c r="W20" s="524"/>
      <c r="X20" s="521">
        <v>0.013646452970649434</v>
      </c>
      <c r="Y20" s="524"/>
      <c r="Z20" s="519">
        <v>0.003428066988611886</v>
      </c>
      <c r="AA20" s="516"/>
      <c r="AB20" s="522">
        <v>0.012144293157831878</v>
      </c>
      <c r="AC20" s="523">
        <v>43700.34025076433</v>
      </c>
      <c r="AG20" s="488"/>
    </row>
    <row r="21" spans="1:33" s="36" customFormat="1" ht="11.25" customHeight="1">
      <c r="A21" s="511">
        <v>21000</v>
      </c>
      <c r="B21" s="512" t="s">
        <v>123</v>
      </c>
      <c r="C21" s="513"/>
      <c r="D21" s="514">
        <v>0.12075348565342761</v>
      </c>
      <c r="E21" s="515"/>
      <c r="F21" s="514">
        <v>0.03366532209526062</v>
      </c>
      <c r="G21" s="515"/>
      <c r="H21" s="514">
        <v>0.15525011817457568</v>
      </c>
      <c r="I21" s="501"/>
      <c r="J21" s="514">
        <v>0.20483844128384995</v>
      </c>
      <c r="K21" s="516"/>
      <c r="L21" s="517">
        <v>0.1189516033166755</v>
      </c>
      <c r="M21" s="501"/>
      <c r="N21" s="513"/>
      <c r="O21" s="514">
        <v>0.09188648737964168</v>
      </c>
      <c r="P21" s="524"/>
      <c r="Q21" s="519">
        <v>0.07110249111361859</v>
      </c>
      <c r="R21" s="516"/>
      <c r="S21" s="525"/>
      <c r="T21" s="484">
        <v>0.07572092185542714</v>
      </c>
      <c r="U21" s="524"/>
      <c r="V21" s="521">
        <v>0.03865228145960705</v>
      </c>
      <c r="W21" s="524"/>
      <c r="X21" s="521">
        <v>0.05735682326047076</v>
      </c>
      <c r="Y21" s="524"/>
      <c r="Z21" s="519">
        <v>0.1018566733158898</v>
      </c>
      <c r="AA21" s="516"/>
      <c r="AB21" s="522">
        <v>0.09531526378538902</v>
      </c>
      <c r="AC21" s="523">
        <v>342984.92340220226</v>
      </c>
      <c r="AG21" s="488"/>
    </row>
    <row r="22" spans="1:33" s="36" customFormat="1" ht="11.25" customHeight="1">
      <c r="A22" s="511">
        <v>22000</v>
      </c>
      <c r="B22" s="512" t="s">
        <v>124</v>
      </c>
      <c r="C22" s="513"/>
      <c r="D22" s="514">
        <v>0.04433179630057943</v>
      </c>
      <c r="E22" s="515"/>
      <c r="F22" s="514">
        <v>0</v>
      </c>
      <c r="G22" s="515"/>
      <c r="H22" s="514">
        <v>0.04463980892185655</v>
      </c>
      <c r="I22" s="501"/>
      <c r="J22" s="514">
        <v>0.06109769638906789</v>
      </c>
      <c r="K22" s="516"/>
      <c r="L22" s="517">
        <v>0.028420024348767947</v>
      </c>
      <c r="M22" s="501"/>
      <c r="N22" s="513"/>
      <c r="O22" s="514">
        <v>0.03280641693572814</v>
      </c>
      <c r="P22" s="524"/>
      <c r="Q22" s="519">
        <v>0.016688393352543972</v>
      </c>
      <c r="R22" s="516"/>
      <c r="S22" s="525"/>
      <c r="T22" s="484">
        <v>0.019457041089024595</v>
      </c>
      <c r="U22" s="524"/>
      <c r="V22" s="521">
        <v>0.013200058495881944</v>
      </c>
      <c r="W22" s="524"/>
      <c r="X22" s="521">
        <v>0.007608434924918292</v>
      </c>
      <c r="Y22" s="524"/>
      <c r="Z22" s="519">
        <v>0.01576726288857814</v>
      </c>
      <c r="AA22" s="516"/>
      <c r="AB22" s="522">
        <v>0.026125848935172894</v>
      </c>
      <c r="AC22" s="523">
        <v>94011.93408039845</v>
      </c>
      <c r="AG22" s="488"/>
    </row>
    <row r="23" spans="1:33" s="36" customFormat="1" ht="11.25" customHeight="1">
      <c r="A23" s="511">
        <v>23000</v>
      </c>
      <c r="B23" s="512" t="s">
        <v>125</v>
      </c>
      <c r="C23" s="513"/>
      <c r="D23" s="514">
        <v>0.03681698942793698</v>
      </c>
      <c r="E23" s="515"/>
      <c r="F23" s="514">
        <v>0.0696411881815012</v>
      </c>
      <c r="G23" s="515"/>
      <c r="H23" s="514">
        <v>0.04199367095121907</v>
      </c>
      <c r="I23" s="501"/>
      <c r="J23" s="514">
        <v>0.014111984107923968</v>
      </c>
      <c r="K23" s="516"/>
      <c r="L23" s="517">
        <v>0.02599694823987402</v>
      </c>
      <c r="M23" s="501"/>
      <c r="N23" s="513"/>
      <c r="O23" s="514">
        <v>0.03439870823817072</v>
      </c>
      <c r="P23" s="524"/>
      <c r="Q23" s="519">
        <v>0.04267063918153737</v>
      </c>
      <c r="R23" s="516"/>
      <c r="S23" s="525"/>
      <c r="T23" s="484">
        <v>0.013400104811738322</v>
      </c>
      <c r="U23" s="524"/>
      <c r="V23" s="521">
        <v>0.0005322109620934033</v>
      </c>
      <c r="W23" s="524"/>
      <c r="X23" s="521">
        <v>0.04358348780208099</v>
      </c>
      <c r="Y23" s="524"/>
      <c r="Z23" s="519">
        <v>0.030847888432404325</v>
      </c>
      <c r="AA23" s="516"/>
      <c r="AB23" s="522">
        <v>0.03652460469377278</v>
      </c>
      <c r="AC23" s="523">
        <v>131431.087169794</v>
      </c>
      <c r="AG23" s="488"/>
    </row>
    <row r="24" spans="1:33" s="36" customFormat="1" ht="11.25" customHeight="1">
      <c r="A24" s="511">
        <v>24000</v>
      </c>
      <c r="B24" s="512" t="s">
        <v>126</v>
      </c>
      <c r="C24" s="513"/>
      <c r="D24" s="514">
        <v>0.016082593584654012</v>
      </c>
      <c r="E24" s="515"/>
      <c r="F24" s="514">
        <v>0.031696221477409726</v>
      </c>
      <c r="G24" s="515"/>
      <c r="H24" s="514">
        <v>0.02559577066538616</v>
      </c>
      <c r="I24" s="501"/>
      <c r="J24" s="514">
        <v>0.010095902266168893</v>
      </c>
      <c r="K24" s="516"/>
      <c r="L24" s="517">
        <v>0.03115980521562175</v>
      </c>
      <c r="M24" s="501"/>
      <c r="N24" s="513"/>
      <c r="O24" s="514">
        <v>0.024638861503750588</v>
      </c>
      <c r="P24" s="524"/>
      <c r="Q24" s="519">
        <v>0.020623762583445785</v>
      </c>
      <c r="R24" s="516"/>
      <c r="S24" s="525"/>
      <c r="T24" s="484">
        <v>0.014970151266739774</v>
      </c>
      <c r="U24" s="524"/>
      <c r="V24" s="521">
        <v>0.0014412522739622848</v>
      </c>
      <c r="W24" s="524"/>
      <c r="X24" s="521">
        <v>0.024819778728712008</v>
      </c>
      <c r="Y24" s="524"/>
      <c r="Z24" s="519">
        <v>0.013141448139606635</v>
      </c>
      <c r="AA24" s="516"/>
      <c r="AB24" s="522">
        <v>0.01863364085899019</v>
      </c>
      <c r="AC24" s="523">
        <v>67051.77774165264</v>
      </c>
      <c r="AG24" s="488"/>
    </row>
    <row r="25" spans="1:33" s="36" customFormat="1" ht="11.25" customHeight="1">
      <c r="A25" s="511">
        <v>25000</v>
      </c>
      <c r="B25" s="512" t="s">
        <v>127</v>
      </c>
      <c r="C25" s="513"/>
      <c r="D25" s="514">
        <v>0.032539464672209806</v>
      </c>
      <c r="E25" s="515"/>
      <c r="F25" s="514">
        <v>0</v>
      </c>
      <c r="G25" s="515"/>
      <c r="H25" s="514">
        <v>0.02073717132799045</v>
      </c>
      <c r="I25" s="501"/>
      <c r="J25" s="514">
        <v>0.01855751810374492</v>
      </c>
      <c r="K25" s="516"/>
      <c r="L25" s="517">
        <v>0.014818012972470235</v>
      </c>
      <c r="M25" s="501"/>
      <c r="N25" s="513"/>
      <c r="O25" s="514">
        <v>0.026965295478945727</v>
      </c>
      <c r="P25" s="524"/>
      <c r="Q25" s="519">
        <v>0.029416021711415084</v>
      </c>
      <c r="R25" s="516"/>
      <c r="S25" s="525"/>
      <c r="T25" s="484">
        <v>0.007203949684064623</v>
      </c>
      <c r="U25" s="524"/>
      <c r="V25" s="521">
        <v>0.00268953878580144</v>
      </c>
      <c r="W25" s="524"/>
      <c r="X25" s="521">
        <v>0.017069271534955528</v>
      </c>
      <c r="Y25" s="524"/>
      <c r="Z25" s="519">
        <v>0.015422244304483208</v>
      </c>
      <c r="AA25" s="516"/>
      <c r="AB25" s="522">
        <v>0.02420608967109288</v>
      </c>
      <c r="AC25" s="523">
        <v>87103.82243079206</v>
      </c>
      <c r="AG25" s="488"/>
    </row>
    <row r="26" spans="1:33" s="36" customFormat="1" ht="11.25" customHeight="1">
      <c r="A26" s="511">
        <v>26000</v>
      </c>
      <c r="B26" s="512" t="s">
        <v>128</v>
      </c>
      <c r="C26" s="513"/>
      <c r="D26" s="514">
        <v>0.07603649974077759</v>
      </c>
      <c r="E26" s="515"/>
      <c r="F26" s="514">
        <v>0.07364755377992109</v>
      </c>
      <c r="G26" s="515"/>
      <c r="H26" s="514">
        <v>0.084842903351087</v>
      </c>
      <c r="I26" s="501"/>
      <c r="J26" s="514">
        <v>0.07880480980914868</v>
      </c>
      <c r="K26" s="516"/>
      <c r="L26" s="517">
        <v>0.06298282109085811</v>
      </c>
      <c r="M26" s="501"/>
      <c r="N26" s="513"/>
      <c r="O26" s="514">
        <v>0.06167510706931191</v>
      </c>
      <c r="P26" s="524"/>
      <c r="Q26" s="519">
        <v>0.06663269360193104</v>
      </c>
      <c r="R26" s="516"/>
      <c r="S26" s="525"/>
      <c r="T26" s="484">
        <v>0.10616178024397431</v>
      </c>
      <c r="U26" s="524"/>
      <c r="V26" s="521">
        <v>0.004342067159996843</v>
      </c>
      <c r="W26" s="524"/>
      <c r="X26" s="521">
        <v>0.0729796122152041</v>
      </c>
      <c r="Y26" s="524"/>
      <c r="Z26" s="519">
        <v>0.07008808902318331</v>
      </c>
      <c r="AA26" s="516"/>
      <c r="AB26" s="522">
        <v>0.07016443607471017</v>
      </c>
      <c r="AC26" s="523">
        <v>252481.531046575</v>
      </c>
      <c r="AG26" s="488"/>
    </row>
    <row r="27" spans="1:33" s="36" customFormat="1" ht="11.25" customHeight="1">
      <c r="A27" s="511">
        <v>27000</v>
      </c>
      <c r="B27" s="512" t="s">
        <v>129</v>
      </c>
      <c r="C27" s="513"/>
      <c r="D27" s="514">
        <v>0.03704203739298899</v>
      </c>
      <c r="E27" s="515"/>
      <c r="F27" s="514">
        <v>0</v>
      </c>
      <c r="G27" s="515"/>
      <c r="H27" s="514">
        <v>0.04172047385534102</v>
      </c>
      <c r="I27" s="501"/>
      <c r="J27" s="514">
        <v>0.0571254149534385</v>
      </c>
      <c r="K27" s="516"/>
      <c r="L27" s="517">
        <v>0.047753523233440974</v>
      </c>
      <c r="M27" s="501"/>
      <c r="N27" s="513"/>
      <c r="O27" s="514">
        <v>0.05315241623523581</v>
      </c>
      <c r="P27" s="524"/>
      <c r="Q27" s="519">
        <v>0.056406480805039516</v>
      </c>
      <c r="R27" s="516"/>
      <c r="S27" s="525"/>
      <c r="T27" s="484">
        <v>0.039169199196381774</v>
      </c>
      <c r="U27" s="524"/>
      <c r="V27" s="521">
        <v>0.010362058145156791</v>
      </c>
      <c r="W27" s="524"/>
      <c r="X27" s="521">
        <v>0.031224445654506827</v>
      </c>
      <c r="Y27" s="524"/>
      <c r="Z27" s="519">
        <v>0.04241364598380389</v>
      </c>
      <c r="AA27" s="516"/>
      <c r="AB27" s="522">
        <v>0.04347904101042192</v>
      </c>
      <c r="AC27" s="523">
        <v>156456.11162696852</v>
      </c>
      <c r="AG27" s="488"/>
    </row>
    <row r="28" spans="1:33" s="36" customFormat="1" ht="11.25" customHeight="1">
      <c r="A28" s="511">
        <v>28000</v>
      </c>
      <c r="B28" s="512" t="s">
        <v>130</v>
      </c>
      <c r="C28" s="513"/>
      <c r="D28" s="514">
        <v>0.016775746483237503</v>
      </c>
      <c r="E28" s="515"/>
      <c r="F28" s="514">
        <v>0.038841877118093615</v>
      </c>
      <c r="G28" s="515"/>
      <c r="H28" s="514">
        <v>0.008951731606776417</v>
      </c>
      <c r="I28" s="501"/>
      <c r="J28" s="514">
        <v>0.0027999860203362778</v>
      </c>
      <c r="K28" s="516"/>
      <c r="L28" s="517">
        <v>0.012792473915422467</v>
      </c>
      <c r="M28" s="501"/>
      <c r="N28" s="513"/>
      <c r="O28" s="514">
        <v>0.022609846072371632</v>
      </c>
      <c r="P28" s="524"/>
      <c r="Q28" s="519">
        <v>0.04123604304753236</v>
      </c>
      <c r="R28" s="516"/>
      <c r="S28" s="525"/>
      <c r="T28" s="484">
        <v>0.025345138157463802</v>
      </c>
      <c r="U28" s="524"/>
      <c r="V28" s="521">
        <v>0.009057251966165943</v>
      </c>
      <c r="W28" s="524"/>
      <c r="X28" s="521">
        <v>0.02461293466270182</v>
      </c>
      <c r="Y28" s="524"/>
      <c r="Z28" s="519">
        <v>0.012491059286084013</v>
      </c>
      <c r="AA28" s="516"/>
      <c r="AB28" s="522">
        <v>0.024438693238788244</v>
      </c>
      <c r="AC28" s="523">
        <v>87940.82915647983</v>
      </c>
      <c r="AG28" s="488"/>
    </row>
    <row r="29" spans="1:33" s="36" customFormat="1" ht="11.25" customHeight="1">
      <c r="A29" s="511">
        <v>31000</v>
      </c>
      <c r="B29" s="512" t="s">
        <v>131</v>
      </c>
      <c r="C29" s="513"/>
      <c r="D29" s="514">
        <v>0.012071221070684488</v>
      </c>
      <c r="E29" s="515"/>
      <c r="F29" s="514">
        <v>0</v>
      </c>
      <c r="G29" s="515"/>
      <c r="H29" s="514">
        <v>0.015343018366172736</v>
      </c>
      <c r="I29" s="501"/>
      <c r="J29" s="514">
        <v>0.009709528360052526</v>
      </c>
      <c r="K29" s="516"/>
      <c r="L29" s="517">
        <v>0.0433670807962266</v>
      </c>
      <c r="M29" s="501"/>
      <c r="N29" s="513"/>
      <c r="O29" s="514">
        <v>0.038480178948769386</v>
      </c>
      <c r="P29" s="524"/>
      <c r="Q29" s="519">
        <v>0.03528465753555368</v>
      </c>
      <c r="R29" s="516"/>
      <c r="S29" s="525"/>
      <c r="T29" s="484">
        <v>0.10526034199393994</v>
      </c>
      <c r="U29" s="524"/>
      <c r="V29" s="521">
        <v>0.042179007257460495</v>
      </c>
      <c r="W29" s="524"/>
      <c r="X29" s="521">
        <v>0.06382399129181601</v>
      </c>
      <c r="Y29" s="524"/>
      <c r="Z29" s="519">
        <v>0.05925998689289954</v>
      </c>
      <c r="AA29" s="516"/>
      <c r="AB29" s="522">
        <v>0.034355844701699036</v>
      </c>
      <c r="AC29" s="523">
        <v>123626.96482655605</v>
      </c>
      <c r="AG29" s="488"/>
    </row>
    <row r="30" spans="1:33" s="36" customFormat="1" ht="11.25" customHeight="1">
      <c r="A30" s="511">
        <v>41000</v>
      </c>
      <c r="B30" s="512" t="s">
        <v>132</v>
      </c>
      <c r="C30" s="513"/>
      <c r="D30" s="514">
        <v>0.027566252595850396</v>
      </c>
      <c r="E30" s="515"/>
      <c r="F30" s="514">
        <v>0</v>
      </c>
      <c r="G30" s="515"/>
      <c r="H30" s="514">
        <v>0.027100073523423095</v>
      </c>
      <c r="I30" s="501"/>
      <c r="J30" s="514">
        <v>0.0771036796276538</v>
      </c>
      <c r="K30" s="516"/>
      <c r="L30" s="517">
        <v>0.024078696846328525</v>
      </c>
      <c r="M30" s="501"/>
      <c r="N30" s="513"/>
      <c r="O30" s="514">
        <v>0.0326075999108803</v>
      </c>
      <c r="P30" s="524"/>
      <c r="Q30" s="519">
        <v>0.06308249471050623</v>
      </c>
      <c r="R30" s="516"/>
      <c r="S30" s="525"/>
      <c r="T30" s="484">
        <v>0.04434817965474432</v>
      </c>
      <c r="U30" s="524"/>
      <c r="V30" s="521">
        <v>0.010255937858247618</v>
      </c>
      <c r="W30" s="524"/>
      <c r="X30" s="521">
        <v>0.05899632475492379</v>
      </c>
      <c r="Y30" s="524"/>
      <c r="Z30" s="519">
        <v>0.06444153183061803</v>
      </c>
      <c r="AA30" s="516"/>
      <c r="AB30" s="522">
        <v>0.04816919907676443</v>
      </c>
      <c r="AC30" s="523">
        <v>173333.29835700511</v>
      </c>
      <c r="AG30" s="488"/>
    </row>
    <row r="31" spans="1:33" s="36" customFormat="1" ht="11.25" customHeight="1">
      <c r="A31" s="511">
        <v>43000</v>
      </c>
      <c r="B31" s="512" t="s">
        <v>133</v>
      </c>
      <c r="C31" s="513"/>
      <c r="D31" s="514">
        <v>0.02282144140447077</v>
      </c>
      <c r="E31" s="515"/>
      <c r="F31" s="514">
        <v>0</v>
      </c>
      <c r="G31" s="515"/>
      <c r="H31" s="514">
        <v>0.024361823911168985</v>
      </c>
      <c r="I31" s="501"/>
      <c r="J31" s="514">
        <v>0.0037155544936642525</v>
      </c>
      <c r="K31" s="516"/>
      <c r="L31" s="517">
        <v>0.028937200742597164</v>
      </c>
      <c r="M31" s="501"/>
      <c r="N31" s="513"/>
      <c r="O31" s="514">
        <v>0.030361464671757092</v>
      </c>
      <c r="P31" s="524"/>
      <c r="Q31" s="519">
        <v>0.038263409429733684</v>
      </c>
      <c r="R31" s="516"/>
      <c r="S31" s="525"/>
      <c r="T31" s="484">
        <v>0.03146296771645611</v>
      </c>
      <c r="U31" s="524"/>
      <c r="V31" s="521">
        <v>0.01107835783666112</v>
      </c>
      <c r="W31" s="524"/>
      <c r="X31" s="521">
        <v>0.02916764448748036</v>
      </c>
      <c r="Y31" s="524"/>
      <c r="Z31" s="519">
        <v>0.028659354341101208</v>
      </c>
      <c r="AA31" s="516"/>
      <c r="AB31" s="522">
        <v>0.027892465990936453</v>
      </c>
      <c r="AC31" s="523">
        <v>100368.97482590149</v>
      </c>
      <c r="AG31" s="488"/>
    </row>
    <row r="32" spans="1:33" s="36" customFormat="1" ht="11.25" customHeight="1">
      <c r="A32" s="511">
        <v>51000</v>
      </c>
      <c r="B32" s="512" t="s">
        <v>134</v>
      </c>
      <c r="C32" s="513"/>
      <c r="D32" s="514">
        <v>0.002981804174047251</v>
      </c>
      <c r="E32" s="515"/>
      <c r="F32" s="514">
        <v>0.20490766836649385</v>
      </c>
      <c r="G32" s="515"/>
      <c r="H32" s="514">
        <v>0.003928763731961281</v>
      </c>
      <c r="I32" s="526"/>
      <c r="J32" s="514">
        <v>0</v>
      </c>
      <c r="K32" s="516"/>
      <c r="L32" s="517">
        <v>0.0027166455099025305</v>
      </c>
      <c r="M32" s="501"/>
      <c r="N32" s="513"/>
      <c r="O32" s="514">
        <v>0.024155255733085162</v>
      </c>
      <c r="P32" s="524"/>
      <c r="Q32" s="519">
        <v>0.015485859595351828</v>
      </c>
      <c r="R32" s="516"/>
      <c r="S32" s="525"/>
      <c r="T32" s="484">
        <v>0.006348940035875539</v>
      </c>
      <c r="U32" s="524"/>
      <c r="V32" s="521">
        <v>0.011220163364352581</v>
      </c>
      <c r="W32" s="524"/>
      <c r="X32" s="521">
        <v>0.009905770835181177</v>
      </c>
      <c r="Y32" s="524"/>
      <c r="Z32" s="519">
        <v>0.019591687398736634</v>
      </c>
      <c r="AA32" s="516"/>
      <c r="AB32" s="522">
        <v>0.014219686218806666</v>
      </c>
      <c r="AC32" s="523">
        <v>51168.48860159559</v>
      </c>
      <c r="AG32" s="488"/>
    </row>
    <row r="33" spans="1:33" s="36" customFormat="1" ht="11.25" customHeight="1">
      <c r="A33" s="511">
        <v>52000</v>
      </c>
      <c r="B33" s="512" t="s">
        <v>135</v>
      </c>
      <c r="C33" s="513"/>
      <c r="D33" s="514">
        <v>0.0004281133424209525</v>
      </c>
      <c r="E33" s="515"/>
      <c r="F33" s="514">
        <v>0.08943620198944632</v>
      </c>
      <c r="G33" s="515"/>
      <c r="H33" s="514">
        <v>0.000655221276471906</v>
      </c>
      <c r="I33" s="526"/>
      <c r="J33" s="514">
        <v>0.0027857600334567855</v>
      </c>
      <c r="K33" s="516"/>
      <c r="L33" s="517">
        <v>0.0004953711858872456</v>
      </c>
      <c r="M33" s="501"/>
      <c r="N33" s="513"/>
      <c r="O33" s="514">
        <v>0.004292428078291251</v>
      </c>
      <c r="P33" s="524"/>
      <c r="Q33" s="519">
        <v>0.0056278702314889704</v>
      </c>
      <c r="R33" s="516"/>
      <c r="S33" s="525"/>
      <c r="T33" s="484">
        <v>0.0008274750253117712</v>
      </c>
      <c r="U33" s="524"/>
      <c r="V33" s="521">
        <v>0</v>
      </c>
      <c r="W33" s="524"/>
      <c r="X33" s="521">
        <v>0.0017919420974417954</v>
      </c>
      <c r="Y33" s="524"/>
      <c r="Z33" s="519">
        <v>0.0026361282413792505</v>
      </c>
      <c r="AA33" s="516"/>
      <c r="AB33" s="522">
        <v>0.004464249807301107</v>
      </c>
      <c r="AC33" s="523">
        <v>16064.272577087293</v>
      </c>
      <c r="AG33" s="488"/>
    </row>
    <row r="34" spans="1:33" s="36" customFormat="1" ht="11.25" customHeight="1">
      <c r="A34" s="511">
        <v>53000</v>
      </c>
      <c r="B34" s="512" t="s">
        <v>136</v>
      </c>
      <c r="C34" s="513"/>
      <c r="D34" s="514">
        <v>0.0006692586032681083</v>
      </c>
      <c r="E34" s="515"/>
      <c r="F34" s="514">
        <v>0.13031845188580127</v>
      </c>
      <c r="G34" s="515"/>
      <c r="H34" s="514">
        <v>0.0006873743624097942</v>
      </c>
      <c r="I34" s="526"/>
      <c r="J34" s="514">
        <v>0</v>
      </c>
      <c r="K34" s="516"/>
      <c r="L34" s="517">
        <v>0.0023358042177094064</v>
      </c>
      <c r="M34" s="501"/>
      <c r="N34" s="513"/>
      <c r="O34" s="514">
        <v>0.0036303449243873026</v>
      </c>
      <c r="P34" s="524"/>
      <c r="Q34" s="519">
        <v>0.006270026822330776</v>
      </c>
      <c r="R34" s="516"/>
      <c r="S34" s="525"/>
      <c r="T34" s="484">
        <v>0.0016063844706235332</v>
      </c>
      <c r="U34" s="524"/>
      <c r="V34" s="521">
        <v>0.003938594667614783</v>
      </c>
      <c r="W34" s="524"/>
      <c r="X34" s="521">
        <v>0.0062762869625141</v>
      </c>
      <c r="Y34" s="524"/>
      <c r="Z34" s="519">
        <v>0.006021915933821808</v>
      </c>
      <c r="AA34" s="516"/>
      <c r="AB34" s="522">
        <v>0.006453181924249734</v>
      </c>
      <c r="AC34" s="523">
        <v>23221.297618950273</v>
      </c>
      <c r="AG34" s="488"/>
    </row>
    <row r="35" spans="1:33" s="36" customFormat="1" ht="11.25" customHeight="1">
      <c r="A35" s="511">
        <v>54000</v>
      </c>
      <c r="B35" s="512" t="s">
        <v>137</v>
      </c>
      <c r="C35" s="513"/>
      <c r="D35" s="514">
        <v>0.001148907073261452</v>
      </c>
      <c r="E35" s="515"/>
      <c r="F35" s="514">
        <v>0.17720890346745277</v>
      </c>
      <c r="G35" s="515"/>
      <c r="H35" s="514">
        <v>0.0005799080524473444</v>
      </c>
      <c r="I35" s="526"/>
      <c r="J35" s="514">
        <v>0</v>
      </c>
      <c r="K35" s="516"/>
      <c r="L35" s="517">
        <v>0.001702063934087129</v>
      </c>
      <c r="M35" s="501"/>
      <c r="N35" s="513"/>
      <c r="O35" s="514">
        <v>0.01249344786141377</v>
      </c>
      <c r="P35" s="524"/>
      <c r="Q35" s="519">
        <v>0.010334794191055884</v>
      </c>
      <c r="R35" s="516"/>
      <c r="S35" s="525"/>
      <c r="T35" s="484">
        <v>0.0037586308873286387</v>
      </c>
      <c r="U35" s="524"/>
      <c r="V35" s="521">
        <v>0.0004087738488070071</v>
      </c>
      <c r="W35" s="524"/>
      <c r="X35" s="521">
        <v>0.005730366269631568</v>
      </c>
      <c r="Y35" s="524"/>
      <c r="Z35" s="519">
        <v>0.0036836727026954667</v>
      </c>
      <c r="AA35" s="516"/>
      <c r="AB35" s="522">
        <v>0.008591347762893269</v>
      </c>
      <c r="AC35" s="523">
        <v>30915.329165036972</v>
      </c>
      <c r="AG35" s="488"/>
    </row>
    <row r="36" spans="1:33" s="36" customFormat="1" ht="11.25" customHeight="1">
      <c r="A36" s="511">
        <v>55000</v>
      </c>
      <c r="B36" s="512" t="s">
        <v>138</v>
      </c>
      <c r="C36" s="527"/>
      <c r="D36" s="514">
        <v>0</v>
      </c>
      <c r="E36" s="515"/>
      <c r="F36" s="514">
        <v>0</v>
      </c>
      <c r="G36" s="515"/>
      <c r="H36" s="514">
        <v>4.0846192049646404E-05</v>
      </c>
      <c r="I36" s="501"/>
      <c r="J36" s="514">
        <v>0</v>
      </c>
      <c r="K36" s="516"/>
      <c r="L36" s="517">
        <v>0.003065623938272204</v>
      </c>
      <c r="M36" s="501"/>
      <c r="N36" s="527"/>
      <c r="O36" s="514">
        <v>0.003202187675125425</v>
      </c>
      <c r="P36" s="524"/>
      <c r="Q36" s="519">
        <v>0.006056026329722068</v>
      </c>
      <c r="R36" s="516"/>
      <c r="S36" s="525"/>
      <c r="T36" s="484">
        <v>0.0014916835795640362</v>
      </c>
      <c r="U36" s="524"/>
      <c r="V36" s="521">
        <v>0</v>
      </c>
      <c r="W36" s="524"/>
      <c r="X36" s="521">
        <v>0.004362031304692622</v>
      </c>
      <c r="Y36" s="524"/>
      <c r="Z36" s="519">
        <v>0.0009301339224360796</v>
      </c>
      <c r="AA36" s="516"/>
      <c r="AB36" s="522">
        <v>0.0027071448544688146</v>
      </c>
      <c r="AC36" s="523">
        <v>9741.460430086798</v>
      </c>
      <c r="AG36" s="488"/>
    </row>
    <row r="37" spans="1:33" s="36" customFormat="1" ht="11.25" customHeight="1" thickBot="1">
      <c r="A37" s="528">
        <v>56000</v>
      </c>
      <c r="B37" s="529" t="s">
        <v>139</v>
      </c>
      <c r="C37" s="530"/>
      <c r="D37" s="531">
        <v>0.0005750575439885516</v>
      </c>
      <c r="E37" s="532"/>
      <c r="F37" s="531">
        <v>0</v>
      </c>
      <c r="G37" s="532"/>
      <c r="H37" s="531">
        <v>0</v>
      </c>
      <c r="I37" s="533"/>
      <c r="J37" s="531">
        <v>0</v>
      </c>
      <c r="K37" s="534"/>
      <c r="L37" s="535">
        <v>0.0017115987697772107</v>
      </c>
      <c r="M37" s="501"/>
      <c r="N37" s="530"/>
      <c r="O37" s="531">
        <v>0.002031810750665527</v>
      </c>
      <c r="P37" s="536"/>
      <c r="Q37" s="537">
        <v>0.0036389299023189474</v>
      </c>
      <c r="R37" s="516"/>
      <c r="S37" s="538"/>
      <c r="T37" s="539">
        <v>0.001548556908901659</v>
      </c>
      <c r="U37" s="536"/>
      <c r="V37" s="540">
        <v>0</v>
      </c>
      <c r="W37" s="536"/>
      <c r="X37" s="540">
        <v>0.002430493835464344</v>
      </c>
      <c r="Y37" s="536"/>
      <c r="Z37" s="537">
        <v>0.0028597197557646697</v>
      </c>
      <c r="AA37" s="516"/>
      <c r="AB37" s="541">
        <v>0.0020177449231825162</v>
      </c>
      <c r="AC37" s="542">
        <v>7260.705792947969</v>
      </c>
      <c r="AG37" s="488"/>
    </row>
  </sheetData>
  <sheetProtection/>
  <mergeCells count="17">
    <mergeCell ref="A7:B9"/>
    <mergeCell ref="C7:L7"/>
    <mergeCell ref="N7:Q7"/>
    <mergeCell ref="S7:Z7"/>
    <mergeCell ref="AB7:AB9"/>
    <mergeCell ref="AC7:AC9"/>
    <mergeCell ref="C8:D9"/>
    <mergeCell ref="E8:F9"/>
    <mergeCell ref="G8:H9"/>
    <mergeCell ref="I8:J9"/>
    <mergeCell ref="Y8:Z9"/>
    <mergeCell ref="K8:L9"/>
    <mergeCell ref="N8:O9"/>
    <mergeCell ref="P8:Q9"/>
    <mergeCell ref="S8:T9"/>
    <mergeCell ref="U8:V9"/>
    <mergeCell ref="W8:X9"/>
  </mergeCells>
  <printOptions horizontalCentered="1"/>
  <pageMargins left="0.5905511811023623" right="0.5905511811023623" top="0.984251968503937" bottom="0.5511811023622047" header="0.6692913385826772" footer="0.1968503937007874"/>
  <pageSetup fitToHeight="14" fitToWidth="1" horizontalDpi="600" verticalDpi="600" orientation="landscape" paperSize="9" scale="63" r:id="rId1"/>
  <headerFooter alignWithMargins="0">
    <oddHeader>&amp;R&amp;"Arial,Kurzíva"Kapitola B.3.I.1
&amp;"Arial,Tučné"Tabulka č. 5</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T20"/>
  <sheetViews>
    <sheetView zoomScale="85" zoomScaleNormal="85" workbookViewId="0" topLeftCell="A1">
      <selection activeCell="J46" sqref="J46"/>
    </sheetView>
  </sheetViews>
  <sheetFormatPr defaultColWidth="9.140625" defaultRowHeight="12.75"/>
  <cols>
    <col min="1" max="16384" width="9.140625" style="25" customWidth="1"/>
  </cols>
  <sheetData>
    <row r="1" spans="1:16" ht="42" customHeight="1">
      <c r="A1" s="935" t="s">
        <v>291</v>
      </c>
      <c r="B1" s="935"/>
      <c r="C1" s="935"/>
      <c r="D1" s="935"/>
      <c r="E1" s="935"/>
      <c r="F1" s="935"/>
      <c r="G1" s="935"/>
      <c r="H1" s="935"/>
      <c r="I1" s="935"/>
      <c r="J1" s="935"/>
      <c r="K1" s="935"/>
      <c r="L1" s="935"/>
      <c r="M1" s="935"/>
      <c r="N1" s="935"/>
      <c r="O1" s="935"/>
      <c r="P1" s="935"/>
    </row>
    <row r="4" ht="13.5" thickBot="1"/>
    <row r="5" spans="1:20" s="552" customFormat="1" ht="39" thickBot="1">
      <c r="A5" s="920" t="s">
        <v>272</v>
      </c>
      <c r="B5" s="921"/>
      <c r="C5" s="921"/>
      <c r="D5" s="922"/>
      <c r="E5" s="543">
        <v>2000</v>
      </c>
      <c r="F5" s="544">
        <v>2001</v>
      </c>
      <c r="G5" s="544">
        <v>2002</v>
      </c>
      <c r="H5" s="544">
        <v>2003</v>
      </c>
      <c r="I5" s="545">
        <v>2004</v>
      </c>
      <c r="J5" s="546" t="s">
        <v>273</v>
      </c>
      <c r="K5" s="547">
        <v>2005</v>
      </c>
      <c r="L5" s="547">
        <v>2006</v>
      </c>
      <c r="M5" s="547">
        <v>2007</v>
      </c>
      <c r="N5" s="547">
        <v>2008</v>
      </c>
      <c r="O5" s="548" t="s">
        <v>274</v>
      </c>
      <c r="P5" s="548" t="s">
        <v>275</v>
      </c>
      <c r="Q5" s="549">
        <v>2011</v>
      </c>
      <c r="R5" s="549">
        <v>2012</v>
      </c>
      <c r="S5" s="550">
        <v>2013</v>
      </c>
      <c r="T5" s="551">
        <v>2014</v>
      </c>
    </row>
    <row r="6" spans="1:20" s="552" customFormat="1" ht="24.75" customHeight="1">
      <c r="A6" s="923" t="s">
        <v>276</v>
      </c>
      <c r="B6" s="924"/>
      <c r="C6" s="924"/>
      <c r="D6" s="925"/>
      <c r="E6" s="553">
        <v>187106</v>
      </c>
      <c r="F6" s="554">
        <v>192008</v>
      </c>
      <c r="G6" s="554">
        <v>204822</v>
      </c>
      <c r="H6" s="554">
        <v>224577</v>
      </c>
      <c r="I6" s="555">
        <v>248498</v>
      </c>
      <c r="J6" s="556">
        <v>248498</v>
      </c>
      <c r="K6" s="554">
        <v>271235</v>
      </c>
      <c r="L6" s="554">
        <v>296377</v>
      </c>
      <c r="M6" s="554">
        <v>325541</v>
      </c>
      <c r="N6" s="554">
        <v>352950</v>
      </c>
      <c r="O6" s="554">
        <v>378892</v>
      </c>
      <c r="P6" s="557">
        <v>398119</v>
      </c>
      <c r="Q6" s="557">
        <v>408231</v>
      </c>
      <c r="R6" s="557">
        <v>404691</v>
      </c>
      <c r="S6" s="558">
        <v>392854</v>
      </c>
      <c r="T6" s="559">
        <v>379436</v>
      </c>
    </row>
    <row r="7" spans="1:20" s="552" customFormat="1" ht="13.5" thickBot="1">
      <c r="A7" s="926" t="s">
        <v>277</v>
      </c>
      <c r="B7" s="927"/>
      <c r="C7" s="927"/>
      <c r="D7" s="928"/>
      <c r="E7" s="560"/>
      <c r="F7" s="561">
        <f>F6/E6*100-100</f>
        <v>2.619905294325136</v>
      </c>
      <c r="G7" s="561">
        <f>G6/F6*100-100</f>
        <v>6.673680263322353</v>
      </c>
      <c r="H7" s="561">
        <f>H6/G6*100-100</f>
        <v>9.644960014060985</v>
      </c>
      <c r="I7" s="562">
        <f>I6/H6*100-100</f>
        <v>10.65158052694622</v>
      </c>
      <c r="J7" s="563">
        <f>J6/H6*100-100</f>
        <v>10.65158052694622</v>
      </c>
      <c r="K7" s="561">
        <f aca="true" t="shared" si="0" ref="K7:T7">K6/J6*100-100</f>
        <v>9.149771829149529</v>
      </c>
      <c r="L7" s="561">
        <f t="shared" si="0"/>
        <v>9.269452688627936</v>
      </c>
      <c r="M7" s="561">
        <f t="shared" si="0"/>
        <v>9.840169783755144</v>
      </c>
      <c r="N7" s="561">
        <f t="shared" si="0"/>
        <v>8.419523193699092</v>
      </c>
      <c r="O7" s="561">
        <f t="shared" si="0"/>
        <v>7.350049582093774</v>
      </c>
      <c r="P7" s="561">
        <f t="shared" si="0"/>
        <v>5.074533112338074</v>
      </c>
      <c r="Q7" s="561">
        <f t="shared" si="0"/>
        <v>2.539944087069429</v>
      </c>
      <c r="R7" s="561">
        <f t="shared" si="0"/>
        <v>-0.8671560954459636</v>
      </c>
      <c r="S7" s="564">
        <f t="shared" si="0"/>
        <v>-2.9249476761282125</v>
      </c>
      <c r="T7" s="562">
        <f t="shared" si="0"/>
        <v>-3.4155182332367673</v>
      </c>
    </row>
    <row r="8" spans="1:20" s="552" customFormat="1" ht="25.5" customHeight="1">
      <c r="A8" s="929" t="s">
        <v>278</v>
      </c>
      <c r="B8" s="930"/>
      <c r="C8" s="930"/>
      <c r="D8" s="931"/>
      <c r="E8" s="565">
        <v>178182.34</v>
      </c>
      <c r="F8" s="566">
        <v>191721.37</v>
      </c>
      <c r="G8" s="566">
        <v>199323.60499999984</v>
      </c>
      <c r="H8" s="566">
        <v>209586.01</v>
      </c>
      <c r="I8" s="567">
        <v>225673.92</v>
      </c>
      <c r="J8" s="556">
        <v>230458</v>
      </c>
      <c r="K8" s="566">
        <v>245292</v>
      </c>
      <c r="L8" s="566">
        <v>261365</v>
      </c>
      <c r="M8" s="566">
        <v>280755</v>
      </c>
      <c r="N8" s="566">
        <v>297928.5</v>
      </c>
      <c r="O8" s="566">
        <v>305619</v>
      </c>
      <c r="P8" s="566">
        <v>315673.5</v>
      </c>
      <c r="Q8" s="566">
        <v>317175.75604907185</v>
      </c>
      <c r="R8" s="566">
        <v>319191</v>
      </c>
      <c r="S8" s="568">
        <v>303323.4000000001</v>
      </c>
      <c r="T8" s="569">
        <v>288847</v>
      </c>
    </row>
    <row r="9" spans="1:20" s="552" customFormat="1" ht="13.5" customHeight="1" thickBot="1">
      <c r="A9" s="932" t="s">
        <v>279</v>
      </c>
      <c r="B9" s="933"/>
      <c r="C9" s="933"/>
      <c r="D9" s="934"/>
      <c r="E9" s="570"/>
      <c r="F9" s="571">
        <f>F8/E8*100-100</f>
        <v>7.5984129515865675</v>
      </c>
      <c r="G9" s="571">
        <f>G8/F8*100-100</f>
        <v>3.965251760927771</v>
      </c>
      <c r="H9" s="571">
        <f>H8/G8*100-100</f>
        <v>5.148614987171342</v>
      </c>
      <c r="I9" s="572">
        <f>I8/H8*100-100</f>
        <v>7.6760419266534115</v>
      </c>
      <c r="J9" s="573">
        <f>J8/H8*100-100</f>
        <v>9.958675199742586</v>
      </c>
      <c r="K9" s="571">
        <f aca="true" t="shared" si="1" ref="K9:T9">K8/J8*100-100</f>
        <v>6.4367476937229355</v>
      </c>
      <c r="L9" s="571">
        <f t="shared" si="1"/>
        <v>6.552598535622849</v>
      </c>
      <c r="M9" s="571">
        <f t="shared" si="1"/>
        <v>7.418743902205733</v>
      </c>
      <c r="N9" s="571">
        <f t="shared" si="1"/>
        <v>6.116899075706584</v>
      </c>
      <c r="O9" s="571">
        <f t="shared" si="1"/>
        <v>2.5813240425135717</v>
      </c>
      <c r="P9" s="571">
        <f t="shared" si="1"/>
        <v>3.289880537532028</v>
      </c>
      <c r="Q9" s="571">
        <f t="shared" si="1"/>
        <v>0.4758891858429166</v>
      </c>
      <c r="R9" s="571">
        <f t="shared" si="1"/>
        <v>0.6353713713908036</v>
      </c>
      <c r="S9" s="574">
        <f t="shared" si="1"/>
        <v>-4.971192796789353</v>
      </c>
      <c r="T9" s="575">
        <f t="shared" si="1"/>
        <v>-4.772595849842148</v>
      </c>
    </row>
    <row r="10" spans="1:16" ht="12.75">
      <c r="A10" s="576"/>
      <c r="B10" s="576"/>
      <c r="C10" s="576"/>
      <c r="D10" s="576"/>
      <c r="E10" s="576"/>
      <c r="F10" s="576"/>
      <c r="G10" s="576"/>
      <c r="H10" s="576"/>
      <c r="I10" s="576"/>
      <c r="J10" s="576"/>
      <c r="K10" s="576"/>
      <c r="L10" s="576"/>
      <c r="M10" s="576"/>
      <c r="N10" s="576"/>
      <c r="O10" s="576"/>
      <c r="P10" s="576"/>
    </row>
    <row r="11" spans="1:16" ht="12.75">
      <c r="A11" s="577" t="s">
        <v>280</v>
      </c>
      <c r="B11" s="576" t="s">
        <v>281</v>
      </c>
      <c r="C11" s="576"/>
      <c r="D11" s="576"/>
      <c r="E11" s="576"/>
      <c r="F11" s="576"/>
      <c r="G11" s="576"/>
      <c r="H11" s="576"/>
      <c r="I11" s="576"/>
      <c r="J11" s="576"/>
      <c r="K11" s="576"/>
      <c r="L11" s="576"/>
      <c r="M11" s="576"/>
      <c r="N11" s="576"/>
      <c r="O11" s="576"/>
      <c r="P11" s="576"/>
    </row>
    <row r="12" spans="1:16" ht="12.75">
      <c r="A12" s="576"/>
      <c r="B12" s="576" t="s">
        <v>282</v>
      </c>
      <c r="C12" s="576"/>
      <c r="D12" s="576"/>
      <c r="E12" s="576"/>
      <c r="F12" s="576"/>
      <c r="G12" s="576"/>
      <c r="H12" s="576"/>
      <c r="I12" s="576"/>
      <c r="J12" s="576"/>
      <c r="K12" s="576"/>
      <c r="L12" s="576"/>
      <c r="M12" s="576"/>
      <c r="N12" s="576"/>
      <c r="O12" s="576"/>
      <c r="P12" s="576"/>
    </row>
    <row r="13" spans="1:16" ht="12.75">
      <c r="A13" s="576"/>
      <c r="B13" s="576"/>
      <c r="C13" s="576"/>
      <c r="D13" s="576"/>
      <c r="E13" s="576"/>
      <c r="F13" s="576"/>
      <c r="G13" s="576"/>
      <c r="H13" s="576"/>
      <c r="I13" s="576"/>
      <c r="J13" s="576"/>
      <c r="K13" s="576"/>
      <c r="L13" s="576"/>
      <c r="M13" s="576"/>
      <c r="N13" s="576"/>
      <c r="O13" s="576"/>
      <c r="P13" s="576"/>
    </row>
    <row r="14" spans="1:16" ht="12.75">
      <c r="A14" s="578" t="s">
        <v>283</v>
      </c>
      <c r="B14" s="576" t="s">
        <v>284</v>
      </c>
      <c r="C14" s="576"/>
      <c r="D14" s="576"/>
      <c r="E14" s="576"/>
      <c r="F14" s="576"/>
      <c r="G14" s="576"/>
      <c r="H14" s="576"/>
      <c r="I14" s="576"/>
      <c r="J14" s="576"/>
      <c r="K14" s="576"/>
      <c r="L14" s="576"/>
      <c r="M14" s="576"/>
      <c r="N14" s="576"/>
      <c r="O14" s="576"/>
      <c r="P14" s="576"/>
    </row>
    <row r="15" spans="2:16" ht="12.75">
      <c r="B15" s="579" t="s">
        <v>285</v>
      </c>
      <c r="C15" s="576"/>
      <c r="D15" s="576"/>
      <c r="E15" s="576"/>
      <c r="F15" s="576"/>
      <c r="G15" s="576"/>
      <c r="H15" s="576"/>
      <c r="I15" s="576"/>
      <c r="J15" s="576"/>
      <c r="K15" s="576"/>
      <c r="L15" s="576"/>
      <c r="M15" s="576"/>
      <c r="N15" s="576"/>
      <c r="O15" s="576"/>
      <c r="P15" s="576"/>
    </row>
    <row r="16" spans="2:16" ht="12.75">
      <c r="B16" s="579" t="s">
        <v>286</v>
      </c>
      <c r="C16" s="579"/>
      <c r="D16" s="579"/>
      <c r="E16" s="579"/>
      <c r="F16" s="579"/>
      <c r="G16" s="579"/>
      <c r="H16" s="579"/>
      <c r="I16" s="579"/>
      <c r="J16" s="579"/>
      <c r="K16" s="579"/>
      <c r="L16" s="579"/>
      <c r="M16" s="579"/>
      <c r="N16" s="579"/>
      <c r="O16" s="579"/>
      <c r="P16" s="576"/>
    </row>
    <row r="17" spans="2:16" ht="12.75">
      <c r="B17" s="579" t="s">
        <v>287</v>
      </c>
      <c r="C17" s="580"/>
      <c r="D17" s="580"/>
      <c r="E17" s="580"/>
      <c r="F17" s="580"/>
      <c r="G17" s="580"/>
      <c r="H17" s="580"/>
      <c r="I17" s="580"/>
      <c r="J17" s="580"/>
      <c r="K17" s="580"/>
      <c r="L17" s="580"/>
      <c r="M17" s="580"/>
      <c r="N17" s="580"/>
      <c r="O17" s="580"/>
      <c r="P17" s="576"/>
    </row>
    <row r="18" spans="2:16" ht="12.75" customHeight="1">
      <c r="B18" s="579" t="s">
        <v>288</v>
      </c>
      <c r="C18" s="580"/>
      <c r="D18" s="580"/>
      <c r="E18" s="580"/>
      <c r="F18" s="580"/>
      <c r="G18" s="580"/>
      <c r="H18" s="580"/>
      <c r="I18" s="580"/>
      <c r="J18" s="580"/>
      <c r="K18" s="580"/>
      <c r="L18" s="580"/>
      <c r="M18" s="580"/>
      <c r="N18" s="580"/>
      <c r="O18" s="580"/>
      <c r="P18" s="576"/>
    </row>
    <row r="19" spans="2:16" ht="12.75">
      <c r="B19" s="581" t="s">
        <v>289</v>
      </c>
      <c r="C19" s="576"/>
      <c r="D19" s="576"/>
      <c r="E19" s="576"/>
      <c r="F19" s="576"/>
      <c r="G19" s="576"/>
      <c r="H19" s="576"/>
      <c r="I19" s="576"/>
      <c r="J19" s="576"/>
      <c r="K19" s="576"/>
      <c r="L19" s="576"/>
      <c r="M19" s="576"/>
      <c r="N19" s="576"/>
      <c r="O19" s="576"/>
      <c r="P19" s="576"/>
    </row>
    <row r="20" ht="12.75">
      <c r="B20" s="581" t="s">
        <v>290</v>
      </c>
    </row>
  </sheetData>
  <sheetProtection/>
  <mergeCells count="6">
    <mergeCell ref="A5:D5"/>
    <mergeCell ref="A6:D6"/>
    <mergeCell ref="A7:D7"/>
    <mergeCell ref="A8:D8"/>
    <mergeCell ref="A9:D9"/>
    <mergeCell ref="A1:P1"/>
  </mergeCells>
  <printOptions horizontalCentered="1"/>
  <pageMargins left="0.5905511811023623" right="0.6299212598425197" top="0.7086614173228347" bottom="0.6692913385826772" header="0.4724409448818898" footer="0.15748031496062992"/>
  <pageSetup fitToHeight="28" fitToWidth="1" horizontalDpi="600" verticalDpi="600" orientation="landscape" paperSize="9" scale="74" r:id="rId2"/>
  <headerFooter alignWithMargins="0">
    <oddHeader xml:space="preserve">&amp;R&amp;"Arial,Kurzíva"&amp;12Kapitola B.3.I.1
&amp;"Arial,Tučné"Tabulka č.6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P31"/>
  <sheetViews>
    <sheetView workbookViewId="0" topLeftCell="A1">
      <selection activeCell="M16" sqref="M16"/>
    </sheetView>
  </sheetViews>
  <sheetFormatPr defaultColWidth="9.140625" defaultRowHeight="12.75"/>
  <cols>
    <col min="1" max="1" width="7.7109375" style="0" customWidth="1"/>
    <col min="2" max="2" width="20.28125" style="0" customWidth="1"/>
    <col min="3" max="11" width="13.57421875" style="0" customWidth="1"/>
  </cols>
  <sheetData>
    <row r="1" spans="1:11" ht="23.25">
      <c r="A1" s="947" t="s">
        <v>292</v>
      </c>
      <c r="B1" s="947"/>
      <c r="C1" s="947"/>
      <c r="D1" s="947"/>
      <c r="E1" s="947"/>
      <c r="F1" s="947"/>
      <c r="G1" s="947"/>
      <c r="H1" s="947"/>
      <c r="I1" s="947"/>
      <c r="J1" s="947"/>
      <c r="K1" s="947"/>
    </row>
    <row r="5" spans="1:11" ht="12.75">
      <c r="A5" s="582" t="s">
        <v>293</v>
      </c>
      <c r="B5" s="442"/>
      <c r="C5" s="442"/>
      <c r="D5" s="442"/>
      <c r="E5" s="442"/>
      <c r="F5" s="442"/>
      <c r="G5" s="583"/>
      <c r="H5" s="583"/>
      <c r="I5" s="442"/>
      <c r="J5" s="583"/>
      <c r="K5" s="583"/>
    </row>
    <row r="6" spans="1:11" ht="12.75">
      <c r="A6" s="948" t="s">
        <v>294</v>
      </c>
      <c r="B6" s="948"/>
      <c r="C6" s="948"/>
      <c r="D6" s="948"/>
      <c r="E6" s="948"/>
      <c r="F6" s="948"/>
      <c r="G6" s="948"/>
      <c r="H6" s="948"/>
      <c r="I6" s="948"/>
      <c r="J6" s="948"/>
      <c r="K6" s="948"/>
    </row>
    <row r="7" spans="1:11" ht="12.75">
      <c r="A7" s="948" t="s">
        <v>295</v>
      </c>
      <c r="B7" s="948"/>
      <c r="C7" s="948"/>
      <c r="D7" s="948"/>
      <c r="E7" s="948"/>
      <c r="F7" s="948"/>
      <c r="G7" s="948"/>
      <c r="H7" s="948"/>
      <c r="I7" s="948"/>
      <c r="J7" s="948"/>
      <c r="K7" s="948"/>
    </row>
    <row r="8" spans="1:11" ht="12.75">
      <c r="A8" s="948" t="s">
        <v>296</v>
      </c>
      <c r="B8" s="948"/>
      <c r="C8" s="948"/>
      <c r="D8" s="948"/>
      <c r="E8" s="948"/>
      <c r="F8" s="948"/>
      <c r="G8" s="948"/>
      <c r="H8" s="948"/>
      <c r="I8" s="948"/>
      <c r="J8" s="948"/>
      <c r="K8" s="948"/>
    </row>
    <row r="9" spans="1:11" ht="15" thickBot="1">
      <c r="A9" s="584"/>
      <c r="B9" s="584"/>
      <c r="C9" s="584"/>
      <c r="D9" s="29"/>
      <c r="E9" s="584"/>
      <c r="F9" s="584"/>
      <c r="G9" s="227"/>
      <c r="H9" s="227"/>
      <c r="I9" s="28"/>
      <c r="J9" s="26"/>
      <c r="K9" s="26"/>
    </row>
    <row r="10" spans="1:11" ht="15.75" thickBot="1">
      <c r="A10" s="949" t="s">
        <v>297</v>
      </c>
      <c r="B10" s="952" t="s">
        <v>298</v>
      </c>
      <c r="C10" s="952"/>
      <c r="D10" s="952"/>
      <c r="E10" s="952"/>
      <c r="F10" s="952"/>
      <c r="G10" s="952"/>
      <c r="H10" s="952"/>
      <c r="I10" s="952"/>
      <c r="J10" s="953"/>
      <c r="K10" s="954"/>
    </row>
    <row r="11" spans="1:11" ht="12.75">
      <c r="A11" s="950"/>
      <c r="B11" s="955" t="s">
        <v>299</v>
      </c>
      <c r="C11" s="937" t="s">
        <v>300</v>
      </c>
      <c r="D11" s="937" t="s">
        <v>323</v>
      </c>
      <c r="E11" s="941" t="s">
        <v>301</v>
      </c>
      <c r="F11" s="937" t="s">
        <v>302</v>
      </c>
      <c r="G11" s="939" t="s">
        <v>303</v>
      </c>
      <c r="H11" s="941" t="s">
        <v>304</v>
      </c>
      <c r="I11" s="943" t="s">
        <v>324</v>
      </c>
      <c r="J11" s="945" t="s">
        <v>325</v>
      </c>
      <c r="K11" s="945" t="s">
        <v>305</v>
      </c>
    </row>
    <row r="12" spans="1:11" ht="38.25" customHeight="1" thickBot="1">
      <c r="A12" s="951"/>
      <c r="B12" s="956"/>
      <c r="C12" s="938"/>
      <c r="D12" s="938"/>
      <c r="E12" s="942"/>
      <c r="F12" s="938"/>
      <c r="G12" s="940"/>
      <c r="H12" s="942"/>
      <c r="I12" s="944"/>
      <c r="J12" s="946"/>
      <c r="K12" s="946"/>
    </row>
    <row r="13" spans="1:16" ht="13.5" thickBot="1">
      <c r="A13" s="585">
        <v>1</v>
      </c>
      <c r="B13" s="586">
        <v>2</v>
      </c>
      <c r="C13" s="586">
        <v>3</v>
      </c>
      <c r="D13" s="586">
        <v>4</v>
      </c>
      <c r="E13" s="586">
        <v>5</v>
      </c>
      <c r="F13" s="586">
        <v>6</v>
      </c>
      <c r="G13" s="586">
        <v>7</v>
      </c>
      <c r="H13" s="586">
        <v>8</v>
      </c>
      <c r="I13" s="587">
        <v>9</v>
      </c>
      <c r="J13" s="588">
        <v>10</v>
      </c>
      <c r="K13" s="588">
        <v>11</v>
      </c>
      <c r="M13" s="589"/>
      <c r="N13" s="589"/>
      <c r="O13" s="589"/>
      <c r="P13" s="589"/>
    </row>
    <row r="14" spans="1:16" ht="12.75">
      <c r="A14" s="590">
        <v>2000</v>
      </c>
      <c r="B14" s="591">
        <v>8260660</v>
      </c>
      <c r="C14" s="591">
        <v>97158</v>
      </c>
      <c r="D14" s="591">
        <v>780003</v>
      </c>
      <c r="E14" s="591">
        <v>1841033</v>
      </c>
      <c r="F14" s="591">
        <v>2683064</v>
      </c>
      <c r="G14" s="592"/>
      <c r="H14" s="591">
        <v>1200</v>
      </c>
      <c r="I14" s="593">
        <v>0</v>
      </c>
      <c r="J14" s="594">
        <v>13663118</v>
      </c>
      <c r="K14" s="595"/>
      <c r="M14" s="589"/>
      <c r="N14" s="596"/>
      <c r="O14" s="589"/>
      <c r="P14" s="596"/>
    </row>
    <row r="15" spans="1:16" ht="12.75">
      <c r="A15" s="597">
        <v>2001</v>
      </c>
      <c r="B15" s="292">
        <v>8958512</v>
      </c>
      <c r="C15" s="292">
        <v>248681</v>
      </c>
      <c r="D15" s="292">
        <v>782965</v>
      </c>
      <c r="E15" s="292">
        <v>2041823</v>
      </c>
      <c r="F15" s="292">
        <v>3331764.59</v>
      </c>
      <c r="G15" s="598">
        <v>1.2417760403777174</v>
      </c>
      <c r="H15" s="292">
        <v>7168</v>
      </c>
      <c r="I15" s="599">
        <v>45323</v>
      </c>
      <c r="J15" s="600">
        <v>15370913.59</v>
      </c>
      <c r="K15" s="601">
        <v>0.12499310845445377</v>
      </c>
      <c r="M15" s="602"/>
      <c r="N15" s="596"/>
      <c r="O15" s="602"/>
      <c r="P15" s="596"/>
    </row>
    <row r="16" spans="1:16" ht="12.75">
      <c r="A16" s="603">
        <v>2002</v>
      </c>
      <c r="B16" s="292">
        <v>10246278</v>
      </c>
      <c r="C16" s="604">
        <v>438218</v>
      </c>
      <c r="D16" s="604">
        <v>812872</v>
      </c>
      <c r="E16" s="292">
        <v>2622216</v>
      </c>
      <c r="F16" s="604">
        <v>3387981.99</v>
      </c>
      <c r="G16" s="605">
        <v>1.0168731608976012</v>
      </c>
      <c r="H16" s="604">
        <v>6327</v>
      </c>
      <c r="I16" s="606">
        <v>233573</v>
      </c>
      <c r="J16" s="600">
        <v>17513892.990000002</v>
      </c>
      <c r="K16" s="601">
        <v>0.1394178288396717</v>
      </c>
      <c r="M16" s="602"/>
      <c r="N16" s="596"/>
      <c r="O16" s="602"/>
      <c r="P16" s="596"/>
    </row>
    <row r="17" spans="1:16" ht="12.75">
      <c r="A17" s="597">
        <v>2003</v>
      </c>
      <c r="B17" s="292">
        <v>12052573</v>
      </c>
      <c r="C17" s="292">
        <v>92672</v>
      </c>
      <c r="D17" s="292">
        <v>815910</v>
      </c>
      <c r="E17" s="292">
        <v>2619045</v>
      </c>
      <c r="F17" s="292">
        <v>3270175.53</v>
      </c>
      <c r="G17" s="598">
        <v>0.965228132750493</v>
      </c>
      <c r="H17" s="292">
        <v>10708</v>
      </c>
      <c r="I17" s="599">
        <v>396675</v>
      </c>
      <c r="J17" s="600">
        <v>18861083.53</v>
      </c>
      <c r="K17" s="601">
        <v>0.07692124993393601</v>
      </c>
      <c r="M17" s="602"/>
      <c r="N17" s="596"/>
      <c r="O17" s="602"/>
      <c r="P17" s="596"/>
    </row>
    <row r="18" spans="1:16" ht="12.75">
      <c r="A18" s="597">
        <v>2004</v>
      </c>
      <c r="B18" s="292">
        <v>14040060</v>
      </c>
      <c r="C18" s="292">
        <v>103145</v>
      </c>
      <c r="D18" s="292">
        <v>812027</v>
      </c>
      <c r="E18" s="292">
        <v>2526196</v>
      </c>
      <c r="F18" s="292">
        <v>3282212.77</v>
      </c>
      <c r="G18" s="598">
        <v>1.003680915562352</v>
      </c>
      <c r="H18" s="292">
        <v>17802</v>
      </c>
      <c r="I18" s="599">
        <v>713736</v>
      </c>
      <c r="J18" s="600">
        <v>20781442.77</v>
      </c>
      <c r="K18" s="601">
        <v>0.10181595542724353</v>
      </c>
      <c r="M18" s="602"/>
      <c r="N18" s="596"/>
      <c r="O18" s="602"/>
      <c r="P18" s="596"/>
    </row>
    <row r="19" spans="1:16" ht="12.75">
      <c r="A19" s="603">
        <v>2005</v>
      </c>
      <c r="B19" s="604">
        <v>16074723</v>
      </c>
      <c r="C19" s="604">
        <v>163156</v>
      </c>
      <c r="D19" s="604">
        <v>651419</v>
      </c>
      <c r="E19" s="604">
        <v>3555392</v>
      </c>
      <c r="F19" s="604">
        <v>4171199</v>
      </c>
      <c r="G19" s="605">
        <v>1.2708496652397097</v>
      </c>
      <c r="H19" s="604">
        <v>19142</v>
      </c>
      <c r="I19" s="606">
        <v>465536</v>
      </c>
      <c r="J19" s="600">
        <v>24635031</v>
      </c>
      <c r="K19" s="601">
        <v>0.1854341044868657</v>
      </c>
      <c r="M19" s="602"/>
      <c r="N19" s="596"/>
      <c r="O19" s="602"/>
      <c r="P19" s="596"/>
    </row>
    <row r="20" spans="1:16" ht="12.75">
      <c r="A20" s="607">
        <v>2006</v>
      </c>
      <c r="B20" s="604">
        <v>17845271</v>
      </c>
      <c r="C20" s="604">
        <v>385608</v>
      </c>
      <c r="D20" s="604">
        <v>205437</v>
      </c>
      <c r="E20" s="604">
        <v>3487292</v>
      </c>
      <c r="F20" s="604">
        <v>4761132</v>
      </c>
      <c r="G20" s="605">
        <v>1.1414300780183348</v>
      </c>
      <c r="H20" s="604">
        <v>35657</v>
      </c>
      <c r="I20" s="606">
        <v>290693</v>
      </c>
      <c r="J20" s="600">
        <v>26720397</v>
      </c>
      <c r="K20" s="601">
        <v>0.08465043133089623</v>
      </c>
      <c r="M20" s="602"/>
      <c r="N20" s="596"/>
      <c r="O20" s="602"/>
      <c r="P20" s="596"/>
    </row>
    <row r="21" spans="1:16" ht="12.75">
      <c r="A21" s="607">
        <v>2007</v>
      </c>
      <c r="B21" s="604">
        <v>18558335</v>
      </c>
      <c r="C21" s="604">
        <v>406451</v>
      </c>
      <c r="D21" s="604">
        <v>203865</v>
      </c>
      <c r="E21" s="604">
        <v>3805533</v>
      </c>
      <c r="F21" s="604">
        <v>5323545</v>
      </c>
      <c r="G21" s="605">
        <v>1.1181</v>
      </c>
      <c r="H21" s="604">
        <v>28760</v>
      </c>
      <c r="I21" s="606">
        <v>838116</v>
      </c>
      <c r="J21" s="600">
        <v>28326489</v>
      </c>
      <c r="K21" s="601">
        <v>0.06</v>
      </c>
      <c r="M21" s="602"/>
      <c r="N21" s="596"/>
      <c r="O21" s="602"/>
      <c r="P21" s="596"/>
    </row>
    <row r="22" spans="1:16" ht="12.75">
      <c r="A22" s="607">
        <v>2008</v>
      </c>
      <c r="B22" s="604">
        <v>19630805</v>
      </c>
      <c r="C22" s="604">
        <v>343695</v>
      </c>
      <c r="D22" s="604">
        <v>222664</v>
      </c>
      <c r="E22" s="604">
        <v>4730186</v>
      </c>
      <c r="F22" s="604">
        <v>5456757</v>
      </c>
      <c r="G22" s="605">
        <v>1.0250231753465031</v>
      </c>
      <c r="H22" s="604">
        <v>57978</v>
      </c>
      <c r="I22" s="606"/>
      <c r="J22" s="600">
        <v>30442085</v>
      </c>
      <c r="K22" s="601">
        <v>0.07468613565203941</v>
      </c>
      <c r="M22" s="602"/>
      <c r="N22" s="596"/>
      <c r="O22" s="602"/>
      <c r="P22" s="596"/>
    </row>
    <row r="23" spans="1:16" ht="12.75">
      <c r="A23" s="607">
        <v>2009</v>
      </c>
      <c r="B23" s="604">
        <v>22137873</v>
      </c>
      <c r="C23" s="604">
        <v>676475</v>
      </c>
      <c r="D23" s="604">
        <v>216727</v>
      </c>
      <c r="E23" s="604">
        <v>3266133</v>
      </c>
      <c r="F23" s="604">
        <v>5809448</v>
      </c>
      <c r="G23" s="605">
        <v>1.0646338108880422</v>
      </c>
      <c r="H23" s="604">
        <v>37571</v>
      </c>
      <c r="I23" s="608">
        <v>145248</v>
      </c>
      <c r="J23" s="600">
        <v>32144227</v>
      </c>
      <c r="K23" s="601">
        <v>0.055914107065925256</v>
      </c>
      <c r="M23" s="602"/>
      <c r="N23" s="596"/>
      <c r="O23" s="602"/>
      <c r="P23" s="596"/>
    </row>
    <row r="24" spans="1:16" ht="12.75">
      <c r="A24" s="609">
        <v>2010</v>
      </c>
      <c r="B24" s="610">
        <v>21274539</v>
      </c>
      <c r="C24" s="611">
        <v>114404</v>
      </c>
      <c r="D24" s="611">
        <v>219496</v>
      </c>
      <c r="E24" s="611">
        <v>2523274</v>
      </c>
      <c r="F24" s="611">
        <v>6020713</v>
      </c>
      <c r="G24" s="605">
        <v>1.0363657614286246</v>
      </c>
      <c r="H24" s="611">
        <v>23155</v>
      </c>
      <c r="I24" s="612">
        <v>158315</v>
      </c>
      <c r="J24" s="613">
        <v>30175581</v>
      </c>
      <c r="K24" s="601">
        <v>-0.061244154354684</v>
      </c>
      <c r="M24" s="602"/>
      <c r="N24" s="596"/>
      <c r="O24" s="602"/>
      <c r="P24" s="596"/>
    </row>
    <row r="25" spans="1:16" ht="12.75">
      <c r="A25" s="609">
        <v>2011</v>
      </c>
      <c r="B25" s="610">
        <v>21257385</v>
      </c>
      <c r="C25" s="611">
        <v>473285</v>
      </c>
      <c r="D25" s="611">
        <v>199832</v>
      </c>
      <c r="E25" s="611">
        <v>1515837</v>
      </c>
      <c r="F25" s="611">
        <v>6567809</v>
      </c>
      <c r="G25" s="605">
        <v>1.0908689718310771</v>
      </c>
      <c r="H25" s="611">
        <v>43850</v>
      </c>
      <c r="I25" s="612">
        <v>613737</v>
      </c>
      <c r="J25" s="613">
        <v>30057998</v>
      </c>
      <c r="K25" s="601">
        <v>-0.0038966275413222506</v>
      </c>
      <c r="M25" s="602"/>
      <c r="N25" s="596"/>
      <c r="O25" s="602"/>
      <c r="P25" s="596"/>
    </row>
    <row r="26" spans="1:16" ht="12.75">
      <c r="A26" s="609">
        <v>2012</v>
      </c>
      <c r="B26" s="610">
        <v>18819575.323</v>
      </c>
      <c r="C26" s="611">
        <v>84192</v>
      </c>
      <c r="D26" s="611">
        <v>181764</v>
      </c>
      <c r="E26" s="611">
        <v>1323569.91</v>
      </c>
      <c r="F26" s="611">
        <v>6257767.32084</v>
      </c>
      <c r="G26" s="605">
        <v>0.9527937430640873</v>
      </c>
      <c r="H26" s="611">
        <v>40716.814</v>
      </c>
      <c r="I26" s="612">
        <v>768851.9550000001</v>
      </c>
      <c r="J26" s="613">
        <v>26707585.36784</v>
      </c>
      <c r="K26" s="601">
        <v>-0.11146492963902654</v>
      </c>
      <c r="M26" s="602"/>
      <c r="N26" s="596"/>
      <c r="O26" s="602"/>
      <c r="P26" s="596"/>
    </row>
    <row r="27" spans="1:16" ht="13.5" thickBot="1">
      <c r="A27" s="614" t="s">
        <v>306</v>
      </c>
      <c r="B27" s="615">
        <v>19367734</v>
      </c>
      <c r="C27" s="616">
        <v>96675</v>
      </c>
      <c r="D27" s="616">
        <v>173506</v>
      </c>
      <c r="E27" s="616">
        <v>661500</v>
      </c>
      <c r="F27" s="616">
        <v>6489885</v>
      </c>
      <c r="G27" s="617">
        <v>1.0371</v>
      </c>
      <c r="H27" s="616">
        <v>40553</v>
      </c>
      <c r="I27" s="618">
        <v>1985755.301</v>
      </c>
      <c r="J27" s="619">
        <v>26829853</v>
      </c>
      <c r="K27" s="620">
        <v>0.005</v>
      </c>
      <c r="M27" s="602"/>
      <c r="N27" s="596"/>
      <c r="O27" s="602"/>
      <c r="P27" s="596"/>
    </row>
    <row r="28" spans="1:16" ht="12.75">
      <c r="A28" s="28"/>
      <c r="B28" s="29"/>
      <c r="C28" s="29"/>
      <c r="D28" s="29"/>
      <c r="E28" s="621"/>
      <c r="F28" s="28"/>
      <c r="G28" s="28"/>
      <c r="H28" s="28"/>
      <c r="I28" s="28"/>
      <c r="J28" s="26"/>
      <c r="K28" s="26"/>
      <c r="M28" s="589"/>
      <c r="N28" s="589"/>
      <c r="O28" s="589"/>
      <c r="P28" s="589"/>
    </row>
    <row r="29" spans="1:11" ht="27" customHeight="1">
      <c r="A29" s="936" t="s">
        <v>307</v>
      </c>
      <c r="B29" s="936"/>
      <c r="C29" s="936"/>
      <c r="D29" s="936"/>
      <c r="E29" s="936"/>
      <c r="F29" s="936"/>
      <c r="G29" s="936"/>
      <c r="H29" s="936"/>
      <c r="I29" s="936"/>
      <c r="J29" s="936"/>
      <c r="K29" s="936"/>
    </row>
    <row r="30" spans="1:11" ht="28.5" customHeight="1">
      <c r="A30" s="936" t="s">
        <v>308</v>
      </c>
      <c r="B30" s="936"/>
      <c r="C30" s="936"/>
      <c r="D30" s="936"/>
      <c r="E30" s="936"/>
      <c r="F30" s="936"/>
      <c r="G30" s="936"/>
      <c r="H30" s="936"/>
      <c r="I30" s="936"/>
      <c r="J30" s="936"/>
      <c r="K30" s="936"/>
    </row>
    <row r="31" spans="1:11" ht="12.75">
      <c r="A31" s="622" t="s">
        <v>309</v>
      </c>
      <c r="B31" s="623"/>
      <c r="C31" s="624"/>
      <c r="D31" s="623"/>
      <c r="E31" s="625"/>
      <c r="F31" s="626"/>
      <c r="G31" s="626"/>
      <c r="H31" s="626"/>
      <c r="I31" s="626"/>
      <c r="J31" s="627"/>
      <c r="K31" s="627"/>
    </row>
  </sheetData>
  <sheetProtection/>
  <mergeCells count="18">
    <mergeCell ref="A1:K1"/>
    <mergeCell ref="A6:K6"/>
    <mergeCell ref="A7:K7"/>
    <mergeCell ref="A8:K8"/>
    <mergeCell ref="A10:A12"/>
    <mergeCell ref="B10:K10"/>
    <mergeCell ref="B11:B12"/>
    <mergeCell ref="C11:C12"/>
    <mergeCell ref="D11:D12"/>
    <mergeCell ref="E11:E12"/>
    <mergeCell ref="A29:K29"/>
    <mergeCell ref="A30:K30"/>
    <mergeCell ref="F11:F12"/>
    <mergeCell ref="G11:G12"/>
    <mergeCell ref="H11:H12"/>
    <mergeCell ref="I11:I12"/>
    <mergeCell ref="J11:J12"/>
    <mergeCell ref="K11:K12"/>
  </mergeCells>
  <printOptions/>
  <pageMargins left="0.7" right="0.7" top="0.787401575" bottom="0.787401575" header="0.3" footer="0.3"/>
  <pageSetup fitToHeight="1" fitToWidth="1" horizontalDpi="600" verticalDpi="600" orientation="landscape" paperSize="9" scale="89" r:id="rId1"/>
  <headerFooter>
    <oddHeader xml:space="preserve">&amp;R&amp;"Arial,Kurzíva"Kapitola B.3.I.1&amp;"Arial,Obyčejné"
&amp;"Arial,Tučné"Tabulka č.7   &amp;"Arial,Obyčejné"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K29"/>
  <sheetViews>
    <sheetView workbookViewId="0" topLeftCell="A1">
      <selection activeCell="O19" sqref="O19"/>
    </sheetView>
  </sheetViews>
  <sheetFormatPr defaultColWidth="9.140625" defaultRowHeight="12.75"/>
  <cols>
    <col min="1" max="1" width="9.140625" style="25" customWidth="1"/>
    <col min="2" max="2" width="16.00390625" style="25" customWidth="1"/>
    <col min="3" max="3" width="12.00390625" style="25" customWidth="1"/>
    <col min="4" max="4" width="10.7109375" style="25" customWidth="1"/>
    <col min="5" max="5" width="12.7109375" style="25" customWidth="1"/>
    <col min="6" max="6" width="12.28125" style="25" customWidth="1"/>
    <col min="7" max="7" width="12.57421875" style="25" customWidth="1"/>
    <col min="8" max="16384" width="9.140625" style="25" customWidth="1"/>
  </cols>
  <sheetData>
    <row r="1" spans="1:8" ht="53.25" customHeight="1">
      <c r="A1" s="967" t="s">
        <v>310</v>
      </c>
      <c r="B1" s="967"/>
      <c r="C1" s="967"/>
      <c r="D1" s="967"/>
      <c r="E1" s="967"/>
      <c r="F1" s="967"/>
      <c r="G1" s="967"/>
      <c r="H1" s="967"/>
    </row>
    <row r="2" spans="1:8" ht="15.75">
      <c r="A2" s="37"/>
      <c r="B2" s="37"/>
      <c r="C2" s="37"/>
      <c r="D2" s="37"/>
      <c r="E2" s="37"/>
      <c r="F2" s="37"/>
      <c r="G2" s="37"/>
      <c r="H2" s="37"/>
    </row>
    <row r="5" spans="1:7" ht="15">
      <c r="A5" s="628" t="s">
        <v>311</v>
      </c>
      <c r="B5" s="629"/>
      <c r="C5" s="629"/>
      <c r="D5" s="629"/>
      <c r="E5" s="629"/>
      <c r="F5" s="629"/>
      <c r="G5" s="629"/>
    </row>
    <row r="6" spans="1:8" ht="15.75">
      <c r="A6" s="630"/>
      <c r="B6" s="629"/>
      <c r="C6" s="629"/>
      <c r="D6" s="629"/>
      <c r="E6" s="629"/>
      <c r="F6" s="629"/>
      <c r="G6" s="629"/>
      <c r="H6" s="631"/>
    </row>
    <row r="7" spans="1:8" ht="37.5" customHeight="1">
      <c r="A7" s="968" t="s">
        <v>326</v>
      </c>
      <c r="B7" s="968"/>
      <c r="C7" s="968"/>
      <c r="D7" s="968"/>
      <c r="E7" s="968"/>
      <c r="F7" s="968"/>
      <c r="G7" s="968"/>
      <c r="H7" s="968"/>
    </row>
    <row r="8" spans="1:8" ht="13.5" thickBot="1">
      <c r="A8" s="629"/>
      <c r="B8" s="629"/>
      <c r="C8" s="629"/>
      <c r="D8" s="629"/>
      <c r="E8" s="629"/>
      <c r="F8" s="629"/>
      <c r="G8" s="629"/>
      <c r="H8" s="629"/>
    </row>
    <row r="9" spans="1:8" ht="15.75" thickBot="1">
      <c r="A9" s="969" t="s">
        <v>297</v>
      </c>
      <c r="B9" s="972" t="s">
        <v>312</v>
      </c>
      <c r="C9" s="973"/>
      <c r="D9" s="973"/>
      <c r="E9" s="973"/>
      <c r="F9" s="973"/>
      <c r="G9" s="973"/>
      <c r="H9" s="974"/>
    </row>
    <row r="10" spans="1:8" ht="12.75">
      <c r="A10" s="970"/>
      <c r="B10" s="975" t="s">
        <v>313</v>
      </c>
      <c r="C10" s="977" t="s">
        <v>314</v>
      </c>
      <c r="D10" s="957" t="s">
        <v>301</v>
      </c>
      <c r="E10" s="959" t="s">
        <v>315</v>
      </c>
      <c r="F10" s="961" t="s">
        <v>316</v>
      </c>
      <c r="G10" s="963" t="s">
        <v>317</v>
      </c>
      <c r="H10" s="965" t="s">
        <v>318</v>
      </c>
    </row>
    <row r="11" spans="1:8" ht="70.5" customHeight="1" thickBot="1">
      <c r="A11" s="971"/>
      <c r="B11" s="976"/>
      <c r="C11" s="978"/>
      <c r="D11" s="958"/>
      <c r="E11" s="960"/>
      <c r="F11" s="962"/>
      <c r="G11" s="964"/>
      <c r="H11" s="966"/>
    </row>
    <row r="12" spans="1:8" ht="12.75">
      <c r="A12" s="632">
        <v>2000</v>
      </c>
      <c r="B12" s="633">
        <v>8275493</v>
      </c>
      <c r="C12" s="634">
        <v>760000</v>
      </c>
      <c r="D12" s="634">
        <v>1611956</v>
      </c>
      <c r="E12" s="635">
        <v>2220725</v>
      </c>
      <c r="F12" s="636">
        <f aca="true" t="shared" si="0" ref="F12:F22">SUM(B12:E12)</f>
        <v>12868174</v>
      </c>
      <c r="G12" s="637"/>
      <c r="H12" s="638"/>
    </row>
    <row r="13" spans="1:8" ht="12.75">
      <c r="A13" s="639">
        <v>2001</v>
      </c>
      <c r="B13" s="640">
        <v>9040821</v>
      </c>
      <c r="C13" s="641">
        <v>800000</v>
      </c>
      <c r="D13" s="642">
        <v>2349757</v>
      </c>
      <c r="E13" s="643">
        <v>800000</v>
      </c>
      <c r="F13" s="644">
        <f t="shared" si="0"/>
        <v>12990578</v>
      </c>
      <c r="G13" s="645">
        <f aca="true" t="shared" si="1" ref="G13:G22">F13-F12</f>
        <v>122404</v>
      </c>
      <c r="H13" s="646">
        <f aca="true" t="shared" si="2" ref="H13:H22">F13/F12-1</f>
        <v>0.009512149897879851</v>
      </c>
    </row>
    <row r="14" spans="1:8" ht="12.75">
      <c r="A14" s="639">
        <v>2002</v>
      </c>
      <c r="B14" s="640">
        <v>11135683</v>
      </c>
      <c r="C14" s="642">
        <v>810005</v>
      </c>
      <c r="D14" s="642">
        <v>1770163</v>
      </c>
      <c r="E14" s="643">
        <v>2300000</v>
      </c>
      <c r="F14" s="644">
        <f t="shared" si="0"/>
        <v>16015851</v>
      </c>
      <c r="G14" s="645">
        <f t="shared" si="1"/>
        <v>3025273</v>
      </c>
      <c r="H14" s="646">
        <f t="shared" si="2"/>
        <v>0.23288209346805044</v>
      </c>
    </row>
    <row r="15" spans="1:8" ht="12.75">
      <c r="A15" s="639">
        <v>2003</v>
      </c>
      <c r="B15" s="640">
        <v>12421218</v>
      </c>
      <c r="C15" s="642">
        <v>800000</v>
      </c>
      <c r="D15" s="642">
        <v>2090972</v>
      </c>
      <c r="E15" s="643">
        <v>1044227</v>
      </c>
      <c r="F15" s="644">
        <f t="shared" si="0"/>
        <v>16356417</v>
      </c>
      <c r="G15" s="645">
        <f t="shared" si="1"/>
        <v>340566</v>
      </c>
      <c r="H15" s="646">
        <f t="shared" si="2"/>
        <v>0.02126430871515983</v>
      </c>
    </row>
    <row r="16" spans="1:8" ht="12.75">
      <c r="A16" s="639">
        <v>2004</v>
      </c>
      <c r="B16" s="640">
        <v>14538359</v>
      </c>
      <c r="C16" s="642">
        <v>810005</v>
      </c>
      <c r="D16" s="642">
        <v>2625702</v>
      </c>
      <c r="E16" s="643">
        <v>1044227</v>
      </c>
      <c r="F16" s="644">
        <f t="shared" si="0"/>
        <v>19018293</v>
      </c>
      <c r="G16" s="645">
        <f t="shared" si="1"/>
        <v>2661876</v>
      </c>
      <c r="H16" s="646">
        <f t="shared" si="2"/>
        <v>0.16274199905761755</v>
      </c>
    </row>
    <row r="17" spans="1:8" ht="12.75">
      <c r="A17" s="639">
        <v>2005</v>
      </c>
      <c r="B17" s="640">
        <v>15911721</v>
      </c>
      <c r="C17" s="642">
        <v>810005</v>
      </c>
      <c r="D17" s="642">
        <v>3412667</v>
      </c>
      <c r="E17" s="643">
        <v>1044227</v>
      </c>
      <c r="F17" s="644">
        <f t="shared" si="0"/>
        <v>21178620</v>
      </c>
      <c r="G17" s="645">
        <f t="shared" si="1"/>
        <v>2160327</v>
      </c>
      <c r="H17" s="646">
        <f t="shared" si="2"/>
        <v>0.11359205581699672</v>
      </c>
    </row>
    <row r="18" spans="1:8" ht="12.75">
      <c r="A18" s="639">
        <v>2006</v>
      </c>
      <c r="B18" s="640">
        <v>18894257</v>
      </c>
      <c r="C18" s="642">
        <v>170000</v>
      </c>
      <c r="D18" s="642">
        <v>3148412</v>
      </c>
      <c r="E18" s="643">
        <v>1044227</v>
      </c>
      <c r="F18" s="644">
        <f t="shared" si="0"/>
        <v>23256896</v>
      </c>
      <c r="G18" s="645">
        <f t="shared" si="1"/>
        <v>2078276</v>
      </c>
      <c r="H18" s="646">
        <f t="shared" si="2"/>
        <v>0.09813085082975181</v>
      </c>
    </row>
    <row r="19" spans="1:8" ht="12.75">
      <c r="A19" s="639">
        <v>2007</v>
      </c>
      <c r="B19" s="640">
        <v>20149649</v>
      </c>
      <c r="C19" s="642">
        <v>200000</v>
      </c>
      <c r="D19" s="642">
        <v>2513330</v>
      </c>
      <c r="E19" s="643">
        <v>1044227</v>
      </c>
      <c r="F19" s="644">
        <f t="shared" si="0"/>
        <v>23907206</v>
      </c>
      <c r="G19" s="645">
        <f t="shared" si="1"/>
        <v>650310</v>
      </c>
      <c r="H19" s="646">
        <f t="shared" si="2"/>
        <v>0.02796202898271538</v>
      </c>
    </row>
    <row r="20" spans="1:8" ht="12.75">
      <c r="A20" s="639">
        <v>2008</v>
      </c>
      <c r="B20" s="640">
        <v>20880286</v>
      </c>
      <c r="C20" s="642">
        <v>200000</v>
      </c>
      <c r="D20" s="642">
        <v>3021649</v>
      </c>
      <c r="E20" s="643">
        <v>1044227</v>
      </c>
      <c r="F20" s="644">
        <f t="shared" si="0"/>
        <v>25146162</v>
      </c>
      <c r="G20" s="645">
        <f t="shared" si="1"/>
        <v>1238956</v>
      </c>
      <c r="H20" s="646">
        <f t="shared" si="2"/>
        <v>0.05182353805793949</v>
      </c>
    </row>
    <row r="21" spans="1:8" ht="12.75">
      <c r="A21" s="639">
        <v>2009</v>
      </c>
      <c r="B21" s="640">
        <f>21903501-C21</f>
        <v>21673501</v>
      </c>
      <c r="C21" s="642">
        <v>230000</v>
      </c>
      <c r="D21" s="642">
        <v>2736749</v>
      </c>
      <c r="E21" s="643">
        <v>1047356</v>
      </c>
      <c r="F21" s="644">
        <f t="shared" si="0"/>
        <v>25687606</v>
      </c>
      <c r="G21" s="645">
        <f t="shared" si="1"/>
        <v>541444</v>
      </c>
      <c r="H21" s="646">
        <f t="shared" si="2"/>
        <v>0.02153187432738246</v>
      </c>
    </row>
    <row r="22" spans="1:8" ht="12.75">
      <c r="A22" s="639">
        <v>2010</v>
      </c>
      <c r="B22" s="640">
        <v>20597472</v>
      </c>
      <c r="C22" s="642">
        <v>217770</v>
      </c>
      <c r="D22" s="642">
        <v>2633888</v>
      </c>
      <c r="E22" s="643">
        <v>937603</v>
      </c>
      <c r="F22" s="644">
        <f t="shared" si="0"/>
        <v>24386733</v>
      </c>
      <c r="G22" s="645">
        <f t="shared" si="1"/>
        <v>-1300873</v>
      </c>
      <c r="H22" s="646">
        <f t="shared" si="2"/>
        <v>-0.05064204893208035</v>
      </c>
    </row>
    <row r="23" spans="1:8" ht="12.75">
      <c r="A23" s="647" t="s">
        <v>319</v>
      </c>
      <c r="B23" s="640">
        <v>21397472</v>
      </c>
      <c r="C23" s="642">
        <v>217770</v>
      </c>
      <c r="D23" s="642">
        <v>2633888</v>
      </c>
      <c r="E23" s="643">
        <v>937603</v>
      </c>
      <c r="F23" s="644">
        <f>SUM(B23:E23)</f>
        <v>25186733</v>
      </c>
      <c r="G23" s="645">
        <f>F23-F22</f>
        <v>800000</v>
      </c>
      <c r="H23" s="646">
        <f>F23/F22-1</f>
        <v>0.032804722141338116</v>
      </c>
    </row>
    <row r="24" spans="1:8" ht="12.75">
      <c r="A24" s="648">
        <v>2011</v>
      </c>
      <c r="B24" s="640">
        <v>20488301</v>
      </c>
      <c r="C24" s="642">
        <v>198340</v>
      </c>
      <c r="D24" s="642">
        <v>2263030</v>
      </c>
      <c r="E24" s="643">
        <v>941698</v>
      </c>
      <c r="F24" s="644">
        <f>SUM(B24:E24)</f>
        <v>23891369</v>
      </c>
      <c r="G24" s="645">
        <f>F24-F23</f>
        <v>-1295364</v>
      </c>
      <c r="H24" s="646">
        <f>F24/F23-1</f>
        <v>-0.05143040981138758</v>
      </c>
    </row>
    <row r="25" spans="1:8" ht="12.75">
      <c r="A25" s="648">
        <v>2012</v>
      </c>
      <c r="B25" s="640">
        <v>19128143</v>
      </c>
      <c r="C25" s="642">
        <v>180629</v>
      </c>
      <c r="D25" s="642">
        <v>2363030</v>
      </c>
      <c r="E25" s="643">
        <v>1055662</v>
      </c>
      <c r="F25" s="644">
        <f>SUM(B25:E25)</f>
        <v>22727464</v>
      </c>
      <c r="G25" s="645">
        <f>F25-F24</f>
        <v>-1163905</v>
      </c>
      <c r="H25" s="646">
        <f>F25/F24-1</f>
        <v>-0.048716546967233265</v>
      </c>
    </row>
    <row r="26" spans="1:9" ht="12.75">
      <c r="A26" s="648">
        <v>2013</v>
      </c>
      <c r="B26" s="640">
        <v>19635585</v>
      </c>
      <c r="C26" s="642">
        <v>173187</v>
      </c>
      <c r="D26" s="642">
        <v>1995030</v>
      </c>
      <c r="E26" s="643">
        <v>1165308</v>
      </c>
      <c r="F26" s="644">
        <f>SUM(B26:E26)</f>
        <v>22969110</v>
      </c>
      <c r="G26" s="645">
        <f>F26-F25</f>
        <v>241646</v>
      </c>
      <c r="H26" s="646">
        <f>F26/F25-1</f>
        <v>0.010632334518272613</v>
      </c>
      <c r="I26" s="649"/>
    </row>
    <row r="27" spans="1:11" ht="13.5" thickBot="1">
      <c r="A27" s="650">
        <v>2014</v>
      </c>
      <c r="B27" s="651">
        <v>19751969</v>
      </c>
      <c r="C27" s="652">
        <v>155303</v>
      </c>
      <c r="D27" s="652">
        <v>1863530</v>
      </c>
      <c r="E27" s="653">
        <v>1165308</v>
      </c>
      <c r="F27" s="654">
        <f>SUM(B27:E27)</f>
        <v>22936110</v>
      </c>
      <c r="G27" s="655">
        <f>F27-F26</f>
        <v>-33000</v>
      </c>
      <c r="H27" s="656">
        <f>F27/F26-1</f>
        <v>-0.0014367121756132528</v>
      </c>
      <c r="K27" s="649"/>
    </row>
    <row r="28" spans="1:8" ht="12.75">
      <c r="A28" s="657"/>
      <c r="B28" s="658"/>
      <c r="C28" s="658"/>
      <c r="D28" s="658"/>
      <c r="E28" s="659"/>
      <c r="F28" s="658"/>
      <c r="G28" s="658"/>
      <c r="H28" s="660"/>
    </row>
    <row r="29" ht="12.75">
      <c r="A29" s="25" t="s">
        <v>320</v>
      </c>
    </row>
  </sheetData>
  <sheetProtection/>
  <mergeCells count="11">
    <mergeCell ref="C10:C11"/>
    <mergeCell ref="D10:D11"/>
    <mergeCell ref="E10:E11"/>
    <mergeCell ref="F10:F11"/>
    <mergeCell ref="G10:G11"/>
    <mergeCell ref="H10:H11"/>
    <mergeCell ref="A1:H1"/>
    <mergeCell ref="A7:H7"/>
    <mergeCell ref="A9:A11"/>
    <mergeCell ref="B9:H9"/>
    <mergeCell ref="B10:B11"/>
  </mergeCells>
  <printOptions horizontalCentered="1"/>
  <pageMargins left="0.2362204724409449" right="0.11811023622047245" top="0.984251968503937" bottom="0.31496062992125984" header="0.5905511811023623" footer="0.2755905511811024"/>
  <pageSetup fitToHeight="1" fitToWidth="1" horizontalDpi="600" verticalDpi="600" orientation="landscape" paperSize="9" r:id="rId2"/>
  <headerFooter alignWithMargins="0">
    <oddHeader>&amp;R&amp;"Arial CE,Kurzíva"Kapitola B.3.I.1
&amp;"Arial CE,Tučné"Tabulka č.8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duskovam</dc:creator>
  <cp:keywords/>
  <dc:description/>
  <cp:lastModifiedBy>avratova</cp:lastModifiedBy>
  <cp:lastPrinted>2014-03-26T13:09:11Z</cp:lastPrinted>
  <dcterms:created xsi:type="dcterms:W3CDTF">2005-03-23T13:09:30Z</dcterms:created>
  <dcterms:modified xsi:type="dcterms:W3CDTF">2014-03-26T13:15:18Z</dcterms:modified>
  <cp:category/>
  <cp:version/>
  <cp:contentType/>
  <cp:contentStatus/>
</cp:coreProperties>
</file>